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mail\"/>
    </mc:Choice>
  </mc:AlternateContent>
  <bookViews>
    <workbookView xWindow="120" yWindow="105" windowWidth="12120" windowHeight="6330" firstSheet="61" activeTab="61"/>
  </bookViews>
  <sheets>
    <sheet name="ОНКО" sheetId="40" state="hidden" r:id="rId1"/>
    <sheet name="ант" sheetId="1" state="hidden" r:id="rId2"/>
    <sheet name="буй" sheetId="2" state="hidden" r:id="rId3"/>
    <sheet name="кол" sheetId="3" state="hidden" r:id="rId4"/>
    <sheet name="сус" sheetId="4" state="hidden" r:id="rId5"/>
    <sheet name="пар" sheetId="6" state="hidden" r:id="rId6"/>
    <sheet name="нея" sheetId="5" state="hidden" r:id="rId7"/>
    <sheet name="пав" sheetId="7" state="hidden" r:id="rId8"/>
    <sheet name="костр" sheetId="8" state="hidden" r:id="rId9"/>
    <sheet name="госп" sheetId="9" state="hidden" r:id="rId10"/>
    <sheet name="пыщ" sheetId="10" state="hidden" r:id="rId11"/>
    <sheet name="цвд" sheetId="11" state="hidden" r:id="rId12"/>
    <sheet name="муз1" sheetId="12" state="hidden" r:id="rId13"/>
    <sheet name="смп" sheetId="16" state="hidden" r:id="rId14"/>
    <sheet name="стом1" sheetId="17" state="hidden" r:id="rId15"/>
    <sheet name="обл.ст" sheetId="18" state="hidden" r:id="rId16"/>
    <sheet name="гавр" sheetId="20" state="hidden" r:id="rId17"/>
    <sheet name="цах" sheetId="99" state="hidden" r:id="rId18"/>
    <sheet name="центр" sheetId="22" state="hidden" r:id="rId19"/>
    <sheet name="спас" sheetId="23" state="hidden" r:id="rId20"/>
    <sheet name="ФГУ" sheetId="24" state="hidden" r:id="rId21"/>
    <sheet name="кожн" sheetId="41" state="hidden" r:id="rId22"/>
    <sheet name="боб" sheetId="42" state="hidden" r:id="rId23"/>
    <sheet name="солиг" sheetId="43" state="hidden" r:id="rId24"/>
    <sheet name="мак" sheetId="44" state="hidden" r:id="rId25"/>
    <sheet name="мант" sheetId="46" state="hidden" r:id="rId26"/>
    <sheet name="поназ" sheetId="47" state="hidden" r:id="rId27"/>
    <sheet name="шар" sheetId="48" state="hidden" r:id="rId28"/>
    <sheet name="узшар" sheetId="49" state="hidden" r:id="rId29"/>
    <sheet name="Рожд" sheetId="55" state="hidden" r:id="rId30"/>
    <sheet name="областн" sheetId="56" state="hidden" r:id="rId31"/>
    <sheet name="кард" sheetId="57" state="hidden" r:id="rId32"/>
    <sheet name="волг" sheetId="58" state="hidden" r:id="rId33"/>
    <sheet name="остр" sheetId="60" state="hidden" r:id="rId34"/>
    <sheet name="галич" sheetId="62" state="hidden" r:id="rId35"/>
    <sheet name="орех" sheetId="63" state="hidden" r:id="rId36"/>
    <sheet name="чухл" sheetId="64" state="hidden" r:id="rId37"/>
    <sheet name="оптима" sheetId="65" state="hidden" r:id="rId38"/>
    <sheet name="кадый" sheetId="66" state="hidden" r:id="rId39"/>
    <sheet name="межа" sheetId="67" state="hidden" r:id="rId40"/>
    <sheet name="вохма" sheetId="68" state="hidden" r:id="rId41"/>
    <sheet name="бог" sheetId="69" state="hidden" r:id="rId42"/>
    <sheet name="роддом" sheetId="70" state="hidden" r:id="rId43"/>
    <sheet name="2МО" sheetId="71" state="hidden" r:id="rId44"/>
    <sheet name="дет" sheetId="72" state="hidden" r:id="rId45"/>
    <sheet name="красное" sheetId="74" state="hidden" r:id="rId46"/>
    <sheet name="увд" sheetId="73" state="hidden" r:id="rId47"/>
    <sheet name="нэс" sheetId="103" state="hidden" r:id="rId48"/>
    <sheet name="ик1" sheetId="75" state="hidden" r:id="rId49"/>
    <sheet name="КРИСТ" sheetId="92" state="hidden" r:id="rId50"/>
    <sheet name="нерехта" sheetId="76" state="hidden" r:id="rId51"/>
    <sheet name="ст.нер" sheetId="77" state="hidden" r:id="rId52"/>
    <sheet name="судисл" sheetId="78" state="hidden" r:id="rId53"/>
    <sheet name="пол4" sheetId="79" state="hidden" r:id="rId54"/>
    <sheet name="стдв" sheetId="101" state="hidden" r:id="rId55"/>
    <sheet name="азимут" sheetId="100" state="hidden" r:id="rId56"/>
    <sheet name="цпс" sheetId="102" state="hidden" r:id="rId57"/>
    <sheet name="ПРОЗР" sheetId="80" state="hidden" r:id="rId58"/>
    <sheet name="зубик" sheetId="85" state="hidden" r:id="rId59"/>
    <sheet name="чародей" sheetId="88" state="hidden" r:id="rId60"/>
    <sheet name="эстетика" sheetId="89" state="hidden" r:id="rId61"/>
    <sheet name="мун.зак." sheetId="28" r:id="rId62"/>
    <sheet name="иногор" sheetId="104" r:id="rId63"/>
    <sheet name="кмс" sheetId="86" r:id="rId64"/>
    <sheet name="МАКС" sheetId="91" r:id="rId65"/>
    <sheet name="сол" sheetId="83" r:id="rId66"/>
    <sheet name="к году стац" sheetId="94" state="hidden" r:id="rId67"/>
    <sheet name="к году дн.ст.)" sheetId="95" state="hidden" r:id="rId68"/>
    <sheet name="к году пол" sheetId="97" state="hidden" r:id="rId69"/>
    <sheet name="Лист6" sheetId="29" state="hidden" r:id="rId70"/>
    <sheet name="проверка" sheetId="30" state="hidden" r:id="rId71"/>
    <sheet name="Лист8" sheetId="31" r:id="rId72"/>
    <sheet name="Лист9" sheetId="32" r:id="rId73"/>
    <sheet name="Лист10" sheetId="33" r:id="rId74"/>
    <sheet name="Лист11" sheetId="34" r:id="rId75"/>
    <sheet name="Лист12" sheetId="35" r:id="rId76"/>
    <sheet name="Лист13" sheetId="36" r:id="rId77"/>
    <sheet name="Лист14" sheetId="37" r:id="rId78"/>
    <sheet name="Лист15" sheetId="38" r:id="rId79"/>
    <sheet name="Лист16" sheetId="39" r:id="rId80"/>
  </sheets>
  <externalReferences>
    <externalReference r:id="rId81"/>
    <externalReference r:id="rId82"/>
    <externalReference r:id="rId83"/>
    <externalReference r:id="rId84"/>
  </externalReferences>
  <calcPr calcId="152511"/>
</workbook>
</file>

<file path=xl/calcChain.xml><?xml version="1.0" encoding="utf-8"?>
<calcChain xmlns="http://schemas.openxmlformats.org/spreadsheetml/2006/main">
  <c r="AR16" i="86" l="1"/>
  <c r="S17" i="86"/>
  <c r="S18" i="86"/>
  <c r="S20" i="86"/>
  <c r="S22" i="86"/>
  <c r="S23" i="86"/>
  <c r="S24" i="86"/>
  <c r="S25" i="86"/>
  <c r="AR26" i="86"/>
  <c r="AM26" i="86"/>
  <c r="S27" i="86"/>
  <c r="S28" i="86"/>
  <c r="S29" i="86"/>
  <c r="S30" i="86"/>
  <c r="S31" i="86"/>
  <c r="S32" i="86"/>
  <c r="S33" i="86"/>
  <c r="AR34" i="86"/>
  <c r="AM34" i="86"/>
  <c r="S35" i="86"/>
  <c r="S36" i="86"/>
  <c r="S37" i="86"/>
  <c r="S38" i="86"/>
  <c r="S39" i="86"/>
  <c r="S40" i="86"/>
  <c r="S41" i="86"/>
  <c r="S34" i="86"/>
  <c r="AR42" i="86"/>
  <c r="AM42" i="86"/>
  <c r="S43" i="86"/>
  <c r="S44" i="86"/>
  <c r="S45" i="86"/>
  <c r="S46" i="86"/>
  <c r="S48" i="86"/>
  <c r="S42" i="86"/>
  <c r="AR49" i="86"/>
  <c r="AM49" i="86"/>
  <c r="S50" i="86"/>
  <c r="S51" i="86"/>
  <c r="S52" i="86"/>
  <c r="S53" i="86"/>
  <c r="S54" i="86"/>
  <c r="S55" i="86"/>
  <c r="S56" i="86"/>
  <c r="AR59" i="86"/>
  <c r="AR60" i="86"/>
  <c r="AQ60" i="86" s="1"/>
  <c r="AR61" i="86"/>
  <c r="AR70" i="86"/>
  <c r="AR73" i="86"/>
  <c r="AR57" i="86"/>
  <c r="AR74" i="86" s="1"/>
  <c r="AM57" i="86"/>
  <c r="AM6" i="86"/>
  <c r="AM16" i="86"/>
  <c r="AM74" i="86" s="1"/>
  <c r="S7" i="86"/>
  <c r="S8" i="86"/>
  <c r="S9" i="86"/>
  <c r="S10" i="86"/>
  <c r="S11" i="86"/>
  <c r="S12" i="86"/>
  <c r="S13" i="86"/>
  <c r="S13" i="28" s="1"/>
  <c r="S14" i="86"/>
  <c r="S15" i="86"/>
  <c r="S19" i="86"/>
  <c r="S21" i="86"/>
  <c r="S58" i="86"/>
  <c r="S59" i="86"/>
  <c r="S60" i="86"/>
  <c r="S61" i="86"/>
  <c r="S62" i="86"/>
  <c r="S63" i="86"/>
  <c r="S64" i="86"/>
  <c r="S65" i="86"/>
  <c r="S66" i="86"/>
  <c r="S67" i="86"/>
  <c r="S68" i="86"/>
  <c r="S69" i="86"/>
  <c r="S70" i="86"/>
  <c r="S71" i="86"/>
  <c r="S72" i="86"/>
  <c r="S73" i="86"/>
  <c r="M73" i="86"/>
  <c r="N73" i="86" s="1"/>
  <c r="L73" i="86"/>
  <c r="M66" i="86"/>
  <c r="N66" i="86" s="1"/>
  <c r="L66" i="86"/>
  <c r="M61" i="86"/>
  <c r="L61" i="86"/>
  <c r="N61" i="86" s="1"/>
  <c r="J56" i="86"/>
  <c r="I56" i="86"/>
  <c r="K56" i="86"/>
  <c r="J55" i="86"/>
  <c r="K55" i="86" s="1"/>
  <c r="I55" i="86"/>
  <c r="J33" i="86"/>
  <c r="K33" i="86" s="1"/>
  <c r="I33" i="86"/>
  <c r="J38" i="86"/>
  <c r="I38" i="86"/>
  <c r="K38" i="86" s="1"/>
  <c r="AH51" i="86"/>
  <c r="AH51" i="91"/>
  <c r="AA51" i="28" s="1"/>
  <c r="AH51" i="83"/>
  <c r="M51" i="86"/>
  <c r="U73" i="83"/>
  <c r="U48" i="83"/>
  <c r="U44" i="83"/>
  <c r="U35" i="83"/>
  <c r="U20" i="83"/>
  <c r="U15" i="83"/>
  <c r="U14" i="83"/>
  <c r="U13" i="83"/>
  <c r="R56" i="83"/>
  <c r="R55" i="83"/>
  <c r="R53" i="83"/>
  <c r="R52" i="83"/>
  <c r="R51" i="83"/>
  <c r="R48" i="83"/>
  <c r="R41" i="83"/>
  <c r="R40" i="83"/>
  <c r="R39" i="83"/>
  <c r="R38" i="83"/>
  <c r="R37" i="83"/>
  <c r="R36" i="83"/>
  <c r="R35" i="83"/>
  <c r="R33" i="83"/>
  <c r="R32" i="83"/>
  <c r="R30" i="83"/>
  <c r="R29" i="83"/>
  <c r="R28" i="83"/>
  <c r="R27" i="83"/>
  <c r="R25" i="83"/>
  <c r="R24" i="83"/>
  <c r="R23" i="83"/>
  <c r="R22" i="83"/>
  <c r="R20" i="83"/>
  <c r="R18" i="83"/>
  <c r="R17" i="83"/>
  <c r="O73" i="83"/>
  <c r="O72" i="83"/>
  <c r="O71" i="83"/>
  <c r="O70" i="83"/>
  <c r="O69" i="83"/>
  <c r="O68" i="83"/>
  <c r="O67" i="83"/>
  <c r="O66" i="83"/>
  <c r="O64" i="83"/>
  <c r="O63" i="83"/>
  <c r="O62" i="83"/>
  <c r="O61" i="83"/>
  <c r="O60" i="83"/>
  <c r="O59" i="83"/>
  <c r="O58" i="83"/>
  <c r="O56" i="83"/>
  <c r="O55" i="83"/>
  <c r="O54" i="83"/>
  <c r="O53" i="83"/>
  <c r="O52" i="83"/>
  <c r="O51" i="83"/>
  <c r="O50" i="83"/>
  <c r="O47" i="83"/>
  <c r="O46" i="83"/>
  <c r="O45" i="83"/>
  <c r="O44" i="83"/>
  <c r="O43" i="83"/>
  <c r="O41" i="83"/>
  <c r="O40" i="83"/>
  <c r="O39" i="83"/>
  <c r="O38" i="83"/>
  <c r="O37" i="83"/>
  <c r="O36" i="83"/>
  <c r="O35" i="83"/>
  <c r="O34" i="83" s="1"/>
  <c r="O33" i="83"/>
  <c r="O32" i="83"/>
  <c r="O31" i="83"/>
  <c r="O30" i="83"/>
  <c r="O26" i="83" s="1"/>
  <c r="O29" i="83"/>
  <c r="O28" i="83"/>
  <c r="O27" i="83"/>
  <c r="O25" i="83"/>
  <c r="O24" i="83"/>
  <c r="O23" i="83"/>
  <c r="O22" i="83"/>
  <c r="O21" i="83"/>
  <c r="O20" i="83"/>
  <c r="O19" i="83"/>
  <c r="O18" i="83"/>
  <c r="O17" i="83"/>
  <c r="O14" i="83"/>
  <c r="O13" i="83"/>
  <c r="O11" i="83"/>
  <c r="O10" i="83"/>
  <c r="O9" i="83"/>
  <c r="O8" i="83"/>
  <c r="L73" i="83"/>
  <c r="L72" i="83"/>
  <c r="L71" i="83"/>
  <c r="L69" i="83"/>
  <c r="L68" i="83"/>
  <c r="L67" i="83"/>
  <c r="L66" i="83"/>
  <c r="L65" i="83"/>
  <c r="L64" i="83"/>
  <c r="L63" i="83"/>
  <c r="L62" i="83"/>
  <c r="L61" i="83"/>
  <c r="L60" i="83"/>
  <c r="L59" i="83"/>
  <c r="L58" i="83"/>
  <c r="L56" i="83"/>
  <c r="L55" i="83"/>
  <c r="L54" i="83"/>
  <c r="L53" i="83"/>
  <c r="L52" i="83"/>
  <c r="L51" i="83"/>
  <c r="L50" i="83"/>
  <c r="L47" i="83"/>
  <c r="L46" i="83"/>
  <c r="L45" i="83"/>
  <c r="L44" i="83"/>
  <c r="L43" i="83"/>
  <c r="J33" i="83"/>
  <c r="K33" i="83"/>
  <c r="J35" i="83"/>
  <c r="L41" i="83"/>
  <c r="L40" i="83"/>
  <c r="L39" i="83"/>
  <c r="L38" i="83"/>
  <c r="L37" i="83"/>
  <c r="L36" i="83"/>
  <c r="L35" i="83"/>
  <c r="L33" i="83"/>
  <c r="L32" i="83"/>
  <c r="L31" i="83"/>
  <c r="L30" i="83"/>
  <c r="L29" i="83"/>
  <c r="L28" i="83"/>
  <c r="L27" i="83"/>
  <c r="L25" i="83"/>
  <c r="L24" i="83"/>
  <c r="L23" i="83"/>
  <c r="L22" i="83"/>
  <c r="L21" i="83"/>
  <c r="L20" i="83"/>
  <c r="L19" i="83"/>
  <c r="L18" i="83"/>
  <c r="L17" i="83"/>
  <c r="L15" i="83"/>
  <c r="L14" i="83"/>
  <c r="L13" i="83"/>
  <c r="L12" i="83"/>
  <c r="L11" i="83"/>
  <c r="L10" i="83"/>
  <c r="L9" i="83"/>
  <c r="L8" i="83"/>
  <c r="U73" i="86"/>
  <c r="AQ72" i="86"/>
  <c r="U72" i="86"/>
  <c r="AQ71" i="86"/>
  <c r="U71" i="86" s="1"/>
  <c r="AQ70" i="86"/>
  <c r="U70" i="86"/>
  <c r="AQ69" i="86"/>
  <c r="U69" i="86" s="1"/>
  <c r="AQ68" i="86"/>
  <c r="U68" i="86"/>
  <c r="AQ67" i="86"/>
  <c r="U67" i="86" s="1"/>
  <c r="AQ66" i="86"/>
  <c r="U66" i="86"/>
  <c r="AQ65" i="86"/>
  <c r="U65" i="86" s="1"/>
  <c r="AQ64" i="86"/>
  <c r="U64" i="86"/>
  <c r="AQ63" i="86"/>
  <c r="U63" i="86" s="1"/>
  <c r="AQ62" i="86"/>
  <c r="U62" i="86"/>
  <c r="AQ61" i="86"/>
  <c r="U61" i="86" s="1"/>
  <c r="U60" i="86"/>
  <c r="AQ59" i="86"/>
  <c r="U59" i="86" s="1"/>
  <c r="AQ58" i="86"/>
  <c r="U58" i="86"/>
  <c r="AQ56" i="86"/>
  <c r="U56" i="86" s="1"/>
  <c r="AQ55" i="86"/>
  <c r="U55" i="86"/>
  <c r="AQ54" i="86"/>
  <c r="U54" i="86" s="1"/>
  <c r="AQ53" i="86"/>
  <c r="U53" i="86"/>
  <c r="AQ52" i="86"/>
  <c r="U52" i="86" s="1"/>
  <c r="AQ51" i="86"/>
  <c r="U51" i="86"/>
  <c r="AQ50" i="86"/>
  <c r="U50" i="86" s="1"/>
  <c r="AQ48" i="86"/>
  <c r="U48" i="86"/>
  <c r="AQ47" i="86"/>
  <c r="U47" i="86" s="1"/>
  <c r="AQ46" i="86"/>
  <c r="U46" i="86"/>
  <c r="AQ45" i="86"/>
  <c r="U45" i="86" s="1"/>
  <c r="U44" i="86"/>
  <c r="AQ43" i="86"/>
  <c r="U43" i="86" s="1"/>
  <c r="AQ41" i="86"/>
  <c r="U41" i="86"/>
  <c r="AQ40" i="86"/>
  <c r="U40" i="86" s="1"/>
  <c r="AQ39" i="86"/>
  <c r="U39" i="86"/>
  <c r="AQ38" i="86"/>
  <c r="U38" i="86" s="1"/>
  <c r="AQ37" i="86"/>
  <c r="U37" i="86"/>
  <c r="AQ36" i="86"/>
  <c r="U36" i="86" s="1"/>
  <c r="U35" i="86"/>
  <c r="AQ33" i="86"/>
  <c r="U33" i="86"/>
  <c r="AQ32" i="86"/>
  <c r="U32" i="86" s="1"/>
  <c r="AQ31" i="86"/>
  <c r="U31" i="86"/>
  <c r="AQ30" i="86"/>
  <c r="U30" i="86" s="1"/>
  <c r="AQ29" i="86"/>
  <c r="U29" i="86"/>
  <c r="AQ28" i="86"/>
  <c r="U28" i="86" s="1"/>
  <c r="AQ27" i="86"/>
  <c r="U27" i="86"/>
  <c r="AQ25" i="86"/>
  <c r="U25" i="86" s="1"/>
  <c r="AQ24" i="86"/>
  <c r="U24" i="86"/>
  <c r="AQ23" i="86"/>
  <c r="U23" i="86" s="1"/>
  <c r="AQ22" i="86"/>
  <c r="U22" i="86"/>
  <c r="AQ21" i="86"/>
  <c r="U21" i="86" s="1"/>
  <c r="U20" i="86"/>
  <c r="AQ19" i="86"/>
  <c r="U19" i="86" s="1"/>
  <c r="AQ18" i="86"/>
  <c r="U18" i="86"/>
  <c r="AQ17" i="86"/>
  <c r="U17" i="86" s="1"/>
  <c r="AQ15" i="86"/>
  <c r="U15" i="86"/>
  <c r="AQ14" i="86"/>
  <c r="U14" i="86" s="1"/>
  <c r="AQ13" i="86"/>
  <c r="U13" i="86"/>
  <c r="AQ12" i="86"/>
  <c r="U12" i="86" s="1"/>
  <c r="AQ11" i="86"/>
  <c r="U11" i="86"/>
  <c r="AQ10" i="86"/>
  <c r="U10" i="86" s="1"/>
  <c r="AQ9" i="86"/>
  <c r="U9" i="86"/>
  <c r="AQ8" i="86"/>
  <c r="U8" i="86" s="1"/>
  <c r="AQ7" i="86"/>
  <c r="U7" i="86"/>
  <c r="AO73" i="86"/>
  <c r="AN73" i="86" s="1"/>
  <c r="R73" i="86" s="1"/>
  <c r="AN72" i="86"/>
  <c r="R72" i="86"/>
  <c r="AN71" i="86"/>
  <c r="R71" i="86" s="1"/>
  <c r="AO70" i="86"/>
  <c r="AN70" i="86"/>
  <c r="R70" i="86" s="1"/>
  <c r="AN69" i="86"/>
  <c r="R69" i="86"/>
  <c r="AN68" i="86"/>
  <c r="R68" i="86" s="1"/>
  <c r="AN67" i="86"/>
  <c r="R67" i="86"/>
  <c r="AN66" i="86"/>
  <c r="AN65" i="86"/>
  <c r="R65" i="86"/>
  <c r="AN64" i="86"/>
  <c r="R64" i="86" s="1"/>
  <c r="AN63" i="86"/>
  <c r="R63" i="86"/>
  <c r="AN62" i="86"/>
  <c r="R62" i="86" s="1"/>
  <c r="AO61" i="86"/>
  <c r="AN61" i="86"/>
  <c r="R61" i="86"/>
  <c r="AO60" i="86"/>
  <c r="AN60" i="86" s="1"/>
  <c r="R60" i="86" s="1"/>
  <c r="AO59" i="86"/>
  <c r="AN59" i="86" s="1"/>
  <c r="R59" i="86" s="1"/>
  <c r="AN58" i="86"/>
  <c r="R58" i="86"/>
  <c r="R56" i="86"/>
  <c r="R55" i="86"/>
  <c r="AN54" i="86"/>
  <c r="R54" i="86"/>
  <c r="R53" i="86"/>
  <c r="R52" i="86"/>
  <c r="R51" i="86"/>
  <c r="AN50" i="86"/>
  <c r="R50" i="86" s="1"/>
  <c r="R49" i="86" s="1"/>
  <c r="R48" i="86"/>
  <c r="AN47" i="86"/>
  <c r="R47" i="86"/>
  <c r="AN46" i="86"/>
  <c r="R46" i="86" s="1"/>
  <c r="AN45" i="86"/>
  <c r="R45" i="86"/>
  <c r="AN44" i="86"/>
  <c r="R44" i="86" s="1"/>
  <c r="R42" i="86" s="1"/>
  <c r="AN43" i="86"/>
  <c r="R43" i="86"/>
  <c r="R41" i="86"/>
  <c r="R40" i="86"/>
  <c r="R39" i="86"/>
  <c r="R38" i="86"/>
  <c r="R34" i="86" s="1"/>
  <c r="R37" i="86"/>
  <c r="R36" i="86"/>
  <c r="R35" i="86"/>
  <c r="R33" i="86"/>
  <c r="R32" i="86"/>
  <c r="AN31" i="86"/>
  <c r="R31" i="86" s="1"/>
  <c r="R26" i="86" s="1"/>
  <c r="R30" i="86"/>
  <c r="R29" i="86"/>
  <c r="R28" i="86"/>
  <c r="R27" i="86"/>
  <c r="R25" i="86"/>
  <c r="R24" i="86"/>
  <c r="R23" i="86"/>
  <c r="R22" i="86"/>
  <c r="AN21" i="86"/>
  <c r="R21" i="86" s="1"/>
  <c r="R20" i="86"/>
  <c r="AN19" i="86"/>
  <c r="R19" i="86"/>
  <c r="R18" i="86"/>
  <c r="R17" i="86"/>
  <c r="R15" i="86"/>
  <c r="R14" i="86"/>
  <c r="R13" i="86"/>
  <c r="R12" i="86"/>
  <c r="R11" i="86"/>
  <c r="R10" i="86"/>
  <c r="R9" i="86"/>
  <c r="R8" i="86"/>
  <c r="R7" i="86"/>
  <c r="AK73" i="86"/>
  <c r="O72" i="86"/>
  <c r="O71" i="86"/>
  <c r="O70" i="86"/>
  <c r="O69" i="86"/>
  <c r="O68" i="86"/>
  <c r="O67" i="86"/>
  <c r="O66" i="86"/>
  <c r="AK65" i="86"/>
  <c r="O65" i="86" s="1"/>
  <c r="O64" i="86"/>
  <c r="O63" i="86"/>
  <c r="O62" i="86"/>
  <c r="O61" i="86"/>
  <c r="O60" i="86"/>
  <c r="O59" i="86"/>
  <c r="O58" i="86"/>
  <c r="O56" i="86"/>
  <c r="O55" i="86"/>
  <c r="O54" i="86"/>
  <c r="O53" i="86"/>
  <c r="O52" i="86"/>
  <c r="O51" i="86"/>
  <c r="O50" i="86"/>
  <c r="O49" i="86" s="1"/>
  <c r="AK48" i="86"/>
  <c r="O48" i="86" s="1"/>
  <c r="O47" i="86"/>
  <c r="O46" i="86"/>
  <c r="O42" i="86" s="1"/>
  <c r="O45" i="86"/>
  <c r="O44" i="86"/>
  <c r="O43" i="86"/>
  <c r="O41" i="86"/>
  <c r="O40" i="86"/>
  <c r="O39" i="86"/>
  <c r="O38" i="86"/>
  <c r="O37" i="86"/>
  <c r="O36" i="86"/>
  <c r="O35" i="86"/>
  <c r="O33" i="86"/>
  <c r="O32" i="86"/>
  <c r="O31" i="86"/>
  <c r="O30" i="86"/>
  <c r="O29" i="86"/>
  <c r="O28" i="86"/>
  <c r="O26" i="86" s="1"/>
  <c r="O27" i="86"/>
  <c r="O25" i="86"/>
  <c r="O24" i="86"/>
  <c r="O23" i="86"/>
  <c r="O22" i="86"/>
  <c r="O21" i="86"/>
  <c r="O20" i="86"/>
  <c r="O19" i="86"/>
  <c r="O18" i="86"/>
  <c r="O17" i="86"/>
  <c r="AK15" i="86"/>
  <c r="O15" i="86"/>
  <c r="O14" i="86"/>
  <c r="O13" i="86"/>
  <c r="AK12" i="86"/>
  <c r="O12" i="86"/>
  <c r="O11" i="86"/>
  <c r="O10" i="86"/>
  <c r="O9" i="86"/>
  <c r="O8" i="86"/>
  <c r="AK7" i="86"/>
  <c r="O7" i="86" s="1"/>
  <c r="AA71" i="28"/>
  <c r="AA73" i="28"/>
  <c r="AA72" i="28"/>
  <c r="AI70" i="86"/>
  <c r="AH70" i="86"/>
  <c r="AA69" i="28"/>
  <c r="AA68" i="28"/>
  <c r="AA67" i="28"/>
  <c r="AA66" i="28"/>
  <c r="AA65" i="28"/>
  <c r="AA64" i="28"/>
  <c r="AA63" i="28"/>
  <c r="AA62" i="28"/>
  <c r="AA61" i="28"/>
  <c r="AA60" i="28"/>
  <c r="AA59" i="28"/>
  <c r="AA58" i="28"/>
  <c r="AA56" i="28"/>
  <c r="AA55" i="28"/>
  <c r="AA54" i="28"/>
  <c r="AA53" i="28"/>
  <c r="AA52" i="28"/>
  <c r="AA50" i="28"/>
  <c r="AH48" i="86"/>
  <c r="AA47" i="28"/>
  <c r="AA46" i="28"/>
  <c r="AA45" i="28"/>
  <c r="AA44" i="28"/>
  <c r="AA43" i="28"/>
  <c r="AA41" i="28"/>
  <c r="AA40" i="28"/>
  <c r="AA39" i="28"/>
  <c r="AA38" i="28"/>
  <c r="AA37" i="28"/>
  <c r="AA36" i="28"/>
  <c r="AA35" i="28"/>
  <c r="AA33" i="28"/>
  <c r="AA32" i="28"/>
  <c r="AA31" i="28"/>
  <c r="AA30" i="28"/>
  <c r="AA29" i="28"/>
  <c r="AA28" i="28"/>
  <c r="AA27" i="28"/>
  <c r="AA25" i="28"/>
  <c r="AA24" i="28"/>
  <c r="AA23" i="28"/>
  <c r="AA22" i="28"/>
  <c r="AA21" i="28"/>
  <c r="AA20" i="28"/>
  <c r="AA19" i="28"/>
  <c r="AA18" i="28"/>
  <c r="AA17" i="28"/>
  <c r="AA15" i="28"/>
  <c r="AA14" i="28"/>
  <c r="AA13" i="28"/>
  <c r="AA12" i="28"/>
  <c r="AA11" i="28"/>
  <c r="AA10" i="28"/>
  <c r="AA9" i="28"/>
  <c r="AA8" i="28"/>
  <c r="AA7" i="28"/>
  <c r="L51" i="86"/>
  <c r="L50" i="86"/>
  <c r="L52" i="86"/>
  <c r="L53" i="86"/>
  <c r="L54" i="86"/>
  <c r="L55" i="86"/>
  <c r="L56" i="86"/>
  <c r="M50" i="86"/>
  <c r="M52" i="86"/>
  <c r="M53" i="86"/>
  <c r="M54" i="86"/>
  <c r="M55" i="86"/>
  <c r="M56" i="86"/>
  <c r="M43" i="86"/>
  <c r="M44" i="86"/>
  <c r="M45" i="86"/>
  <c r="M46" i="86"/>
  <c r="M47" i="86"/>
  <c r="M48" i="86"/>
  <c r="L43" i="86"/>
  <c r="L44" i="86"/>
  <c r="L45" i="86"/>
  <c r="L46" i="86"/>
  <c r="L47" i="86"/>
  <c r="L48" i="86"/>
  <c r="M35" i="86"/>
  <c r="M36" i="86"/>
  <c r="M37" i="86"/>
  <c r="M38" i="86"/>
  <c r="M39" i="86"/>
  <c r="M40" i="86"/>
  <c r="M41" i="86"/>
  <c r="L35" i="86"/>
  <c r="L36" i="86"/>
  <c r="L37" i="86"/>
  <c r="L38" i="86"/>
  <c r="L39" i="86"/>
  <c r="L40" i="86"/>
  <c r="L41" i="86"/>
  <c r="M27" i="86"/>
  <c r="M28" i="86"/>
  <c r="M29" i="86"/>
  <c r="M30" i="86"/>
  <c r="M31" i="86"/>
  <c r="M32" i="86"/>
  <c r="M33" i="86"/>
  <c r="L27" i="86"/>
  <c r="L28" i="86"/>
  <c r="L29" i="86"/>
  <c r="L30" i="86"/>
  <c r="L31" i="86"/>
  <c r="L32" i="86"/>
  <c r="L33" i="86"/>
  <c r="V35" i="86"/>
  <c r="V34" i="86" s="1"/>
  <c r="V44" i="86"/>
  <c r="V45" i="86"/>
  <c r="V46" i="86"/>
  <c r="V42" i="86" s="1"/>
  <c r="V47" i="86"/>
  <c r="V48" i="86"/>
  <c r="V58" i="86"/>
  <c r="V59" i="86"/>
  <c r="V60" i="86"/>
  <c r="V61" i="86"/>
  <c r="V62" i="86"/>
  <c r="V63" i="86"/>
  <c r="V64" i="86"/>
  <c r="V65" i="86"/>
  <c r="V66" i="86"/>
  <c r="V67" i="86"/>
  <c r="V68" i="86"/>
  <c r="V69" i="86"/>
  <c r="V70" i="86"/>
  <c r="V71" i="86"/>
  <c r="V72" i="86"/>
  <c r="V73" i="86"/>
  <c r="P50" i="86"/>
  <c r="P51" i="86"/>
  <c r="P52" i="86"/>
  <c r="P53" i="86"/>
  <c r="P54" i="86"/>
  <c r="P55" i="86"/>
  <c r="P56" i="86"/>
  <c r="P27" i="86"/>
  <c r="P28" i="86"/>
  <c r="P29" i="86"/>
  <c r="P30" i="86"/>
  <c r="P31" i="86"/>
  <c r="P32" i="86"/>
  <c r="P33" i="86"/>
  <c r="O34" i="86"/>
  <c r="P35" i="86"/>
  <c r="P36" i="86"/>
  <c r="P37" i="86"/>
  <c r="P38" i="86"/>
  <c r="P39" i="86"/>
  <c r="P40" i="86"/>
  <c r="P41" i="86"/>
  <c r="P34" i="86"/>
  <c r="Q34" i="86" s="1"/>
  <c r="P43" i="86"/>
  <c r="P44" i="86"/>
  <c r="P45" i="86"/>
  <c r="P46" i="86"/>
  <c r="P47" i="86"/>
  <c r="P48" i="86"/>
  <c r="J58" i="86"/>
  <c r="J59" i="86"/>
  <c r="J60" i="86"/>
  <c r="J61" i="86"/>
  <c r="J62" i="86"/>
  <c r="J63" i="86"/>
  <c r="J64" i="86"/>
  <c r="J65" i="86"/>
  <c r="J66" i="86"/>
  <c r="J67" i="86"/>
  <c r="J68" i="86"/>
  <c r="J69" i="86"/>
  <c r="J70" i="86"/>
  <c r="J71" i="86"/>
  <c r="J72" i="86"/>
  <c r="J73" i="86"/>
  <c r="J50" i="86"/>
  <c r="J51" i="86"/>
  <c r="J52" i="86"/>
  <c r="J53" i="86"/>
  <c r="J54" i="86"/>
  <c r="I50" i="86"/>
  <c r="I51" i="86"/>
  <c r="I52" i="86"/>
  <c r="I49" i="86" s="1"/>
  <c r="I53" i="86"/>
  <c r="I54" i="86"/>
  <c r="J43" i="86"/>
  <c r="J44" i="86"/>
  <c r="J45" i="86"/>
  <c r="J46" i="86"/>
  <c r="J42" i="86" s="1"/>
  <c r="J47" i="86"/>
  <c r="J48" i="86"/>
  <c r="I43" i="86"/>
  <c r="I44" i="86"/>
  <c r="I45" i="86"/>
  <c r="I46" i="86"/>
  <c r="I47" i="86"/>
  <c r="AE48" i="86"/>
  <c r="I48" i="86" s="1"/>
  <c r="J35" i="86"/>
  <c r="J36" i="86"/>
  <c r="J37" i="86"/>
  <c r="J39" i="86"/>
  <c r="J34" i="86" s="1"/>
  <c r="J40" i="86"/>
  <c r="J41" i="86"/>
  <c r="I35" i="86"/>
  <c r="I36" i="86"/>
  <c r="I37" i="86"/>
  <c r="I39" i="86"/>
  <c r="I40" i="86"/>
  <c r="I41" i="86"/>
  <c r="J27" i="86"/>
  <c r="J28" i="86"/>
  <c r="J29" i="86"/>
  <c r="J30" i="86"/>
  <c r="J31" i="86"/>
  <c r="J32" i="86"/>
  <c r="I27" i="86"/>
  <c r="I28" i="86"/>
  <c r="I29" i="86"/>
  <c r="I30" i="86"/>
  <c r="I31" i="86"/>
  <c r="I32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C58" i="86"/>
  <c r="Z59" i="86"/>
  <c r="Y59" i="86"/>
  <c r="C59" i="86" s="1"/>
  <c r="Y60" i="86"/>
  <c r="C60" i="86" s="1"/>
  <c r="Y61" i="86"/>
  <c r="C61" i="86" s="1"/>
  <c r="Y62" i="86"/>
  <c r="C62" i="86" s="1"/>
  <c r="Y63" i="86"/>
  <c r="C63" i="86" s="1"/>
  <c r="Y64" i="86"/>
  <c r="C64" i="86" s="1"/>
  <c r="Y65" i="86"/>
  <c r="C65" i="86" s="1"/>
  <c r="Y66" i="86"/>
  <c r="C66" i="86" s="1"/>
  <c r="Y67" i="86"/>
  <c r="C67" i="86" s="1"/>
  <c r="Y68" i="86"/>
  <c r="C68" i="86" s="1"/>
  <c r="Y69" i="86"/>
  <c r="C69" i="86" s="1"/>
  <c r="Y70" i="86"/>
  <c r="C70" i="86" s="1"/>
  <c r="Y71" i="86"/>
  <c r="C71" i="86" s="1"/>
  <c r="Y72" i="86"/>
  <c r="C72" i="86" s="1"/>
  <c r="C73" i="86"/>
  <c r="D50" i="86"/>
  <c r="D51" i="86"/>
  <c r="D52" i="86"/>
  <c r="D53" i="86"/>
  <c r="D54" i="86"/>
  <c r="D55" i="86"/>
  <c r="D56" i="86"/>
  <c r="D49" i="86"/>
  <c r="C50" i="86"/>
  <c r="C51" i="86"/>
  <c r="C52" i="86"/>
  <c r="C53" i="86"/>
  <c r="Y54" i="86"/>
  <c r="C54" i="86"/>
  <c r="C55" i="86"/>
  <c r="C56" i="86"/>
  <c r="D43" i="86"/>
  <c r="D44" i="86"/>
  <c r="D45" i="86"/>
  <c r="D46" i="86"/>
  <c r="D47" i="86"/>
  <c r="D48" i="86"/>
  <c r="C43" i="86"/>
  <c r="C42" i="86" s="1"/>
  <c r="C44" i="86"/>
  <c r="C45" i="86"/>
  <c r="Y46" i="86"/>
  <c r="C46" i="86"/>
  <c r="Y47" i="86"/>
  <c r="C47" i="86"/>
  <c r="Y48" i="86"/>
  <c r="C48" i="86"/>
  <c r="D35" i="86"/>
  <c r="D36" i="86"/>
  <c r="D37" i="86"/>
  <c r="D38" i="86"/>
  <c r="D39" i="86"/>
  <c r="D40" i="86"/>
  <c r="D41" i="86"/>
  <c r="D34" i="86"/>
  <c r="C35" i="86"/>
  <c r="C36" i="86"/>
  <c r="C37" i="86"/>
  <c r="C38" i="86"/>
  <c r="C39" i="86"/>
  <c r="C40" i="86"/>
  <c r="C41" i="86"/>
  <c r="C34" i="86"/>
  <c r="D27" i="86"/>
  <c r="D28" i="86"/>
  <c r="D29" i="86"/>
  <c r="D30" i="86"/>
  <c r="D31" i="86"/>
  <c r="D32" i="86"/>
  <c r="D33" i="86"/>
  <c r="C27" i="86"/>
  <c r="C26" i="86" s="1"/>
  <c r="C28" i="86"/>
  <c r="C29" i="86"/>
  <c r="C30" i="86"/>
  <c r="C31" i="86"/>
  <c r="C32" i="86"/>
  <c r="C33" i="86"/>
  <c r="F50" i="86"/>
  <c r="F51" i="86"/>
  <c r="F52" i="86"/>
  <c r="F53" i="86"/>
  <c r="AB54" i="86"/>
  <c r="F54" i="86"/>
  <c r="F55" i="86"/>
  <c r="F56" i="86"/>
  <c r="G50" i="86"/>
  <c r="G51" i="86"/>
  <c r="G52" i="86"/>
  <c r="G53" i="86"/>
  <c r="G54" i="86"/>
  <c r="G55" i="86"/>
  <c r="G56" i="86"/>
  <c r="G43" i="86"/>
  <c r="G44" i="86"/>
  <c r="G42" i="86" s="1"/>
  <c r="G45" i="86"/>
  <c r="G46" i="86"/>
  <c r="G47" i="86"/>
  <c r="G48" i="86"/>
  <c r="F43" i="86"/>
  <c r="F44" i="86"/>
  <c r="F45" i="86"/>
  <c r="F46" i="86"/>
  <c r="AB47" i="86"/>
  <c r="F47" i="86" s="1"/>
  <c r="AB48" i="86"/>
  <c r="F48" i="86" s="1"/>
  <c r="F42" i="86"/>
  <c r="G35" i="86"/>
  <c r="G34" i="86" s="1"/>
  <c r="G36" i="86"/>
  <c r="G37" i="86"/>
  <c r="G38" i="86"/>
  <c r="G39" i="86"/>
  <c r="G40" i="86"/>
  <c r="G41" i="86"/>
  <c r="F35" i="86"/>
  <c r="F34" i="86" s="1"/>
  <c r="F36" i="86"/>
  <c r="F37" i="86"/>
  <c r="F38" i="86"/>
  <c r="F39" i="86"/>
  <c r="F40" i="86"/>
  <c r="F41" i="86"/>
  <c r="G27" i="86"/>
  <c r="G28" i="86"/>
  <c r="G29" i="86"/>
  <c r="G30" i="86"/>
  <c r="G31" i="86"/>
  <c r="G32" i="86"/>
  <c r="G33" i="86"/>
  <c r="F27" i="86"/>
  <c r="F28" i="86"/>
  <c r="F29" i="86"/>
  <c r="F30" i="86"/>
  <c r="F31" i="86"/>
  <c r="F32" i="86"/>
  <c r="F33" i="86"/>
  <c r="G17" i="86"/>
  <c r="G18" i="86"/>
  <c r="G19" i="86"/>
  <c r="G20" i="86"/>
  <c r="G21" i="86"/>
  <c r="G22" i="86"/>
  <c r="G23" i="86"/>
  <c r="G24" i="86"/>
  <c r="G25" i="86"/>
  <c r="F17" i="86"/>
  <c r="F18" i="86"/>
  <c r="F19" i="86"/>
  <c r="F20" i="86"/>
  <c r="F21" i="86"/>
  <c r="F22" i="86"/>
  <c r="F23" i="86"/>
  <c r="F24" i="86"/>
  <c r="F25" i="86"/>
  <c r="V35" i="91"/>
  <c r="V34" i="91"/>
  <c r="V17" i="91"/>
  <c r="V18" i="91"/>
  <c r="V19" i="91"/>
  <c r="V20" i="91"/>
  <c r="V16" i="91"/>
  <c r="S58" i="91"/>
  <c r="S59" i="91"/>
  <c r="S60" i="91"/>
  <c r="S61" i="91"/>
  <c r="S62" i="91"/>
  <c r="S63" i="91"/>
  <c r="S64" i="91"/>
  <c r="S65" i="91"/>
  <c r="S66" i="91"/>
  <c r="S67" i="91"/>
  <c r="S68" i="91"/>
  <c r="S69" i="91"/>
  <c r="S70" i="91"/>
  <c r="S71" i="91"/>
  <c r="S72" i="91"/>
  <c r="S73" i="91"/>
  <c r="M58" i="91"/>
  <c r="M59" i="91"/>
  <c r="M60" i="91"/>
  <c r="M61" i="91"/>
  <c r="M62" i="91"/>
  <c r="M63" i="91"/>
  <c r="M64" i="91"/>
  <c r="M65" i="91"/>
  <c r="M66" i="91"/>
  <c r="M67" i="91"/>
  <c r="M68" i="91"/>
  <c r="M69" i="91"/>
  <c r="M70" i="91"/>
  <c r="M71" i="91"/>
  <c r="M72" i="91"/>
  <c r="M73" i="91"/>
  <c r="M57" i="91"/>
  <c r="M43" i="91"/>
  <c r="M44" i="91"/>
  <c r="M45" i="91"/>
  <c r="M46" i="91"/>
  <c r="M47" i="91"/>
  <c r="M48" i="91"/>
  <c r="M42" i="91"/>
  <c r="M35" i="91"/>
  <c r="M36" i="91"/>
  <c r="M37" i="91"/>
  <c r="M38" i="91"/>
  <c r="M39" i="91"/>
  <c r="M40" i="91"/>
  <c r="M41" i="91"/>
  <c r="M27" i="91"/>
  <c r="M28" i="91"/>
  <c r="M29" i="91"/>
  <c r="M30" i="91"/>
  <c r="M31" i="91"/>
  <c r="M32" i="91"/>
  <c r="M33" i="91"/>
  <c r="M17" i="91"/>
  <c r="M18" i="91"/>
  <c r="M19" i="91"/>
  <c r="M20" i="91"/>
  <c r="M21" i="91"/>
  <c r="M22" i="91"/>
  <c r="M23" i="91"/>
  <c r="M24" i="91"/>
  <c r="M25" i="91"/>
  <c r="S58" i="83"/>
  <c r="S59" i="83"/>
  <c r="S60" i="83"/>
  <c r="S61" i="83"/>
  <c r="S62" i="83"/>
  <c r="S63" i="83"/>
  <c r="S64" i="83"/>
  <c r="S65" i="83"/>
  <c r="S66" i="83"/>
  <c r="S67" i="83"/>
  <c r="S68" i="83"/>
  <c r="S69" i="83"/>
  <c r="S70" i="83"/>
  <c r="S71" i="83"/>
  <c r="S72" i="83"/>
  <c r="S73" i="83"/>
  <c r="S57" i="83"/>
  <c r="S50" i="83"/>
  <c r="S51" i="83"/>
  <c r="S52" i="83"/>
  <c r="S53" i="83"/>
  <c r="S54" i="83"/>
  <c r="S55" i="83"/>
  <c r="S56" i="83"/>
  <c r="M43" i="83"/>
  <c r="M44" i="83"/>
  <c r="M45" i="83"/>
  <c r="M46" i="83"/>
  <c r="M47" i="83"/>
  <c r="M48" i="83"/>
  <c r="P43" i="83"/>
  <c r="P44" i="83"/>
  <c r="P45" i="83"/>
  <c r="P46" i="83"/>
  <c r="P47" i="83"/>
  <c r="P48" i="83"/>
  <c r="S43" i="83"/>
  <c r="S44" i="83"/>
  <c r="S45" i="83"/>
  <c r="S46" i="83"/>
  <c r="S47" i="83"/>
  <c r="S48" i="83"/>
  <c r="V44" i="83"/>
  <c r="V42" i="83" s="1"/>
  <c r="L34" i="83"/>
  <c r="M35" i="83"/>
  <c r="M36" i="83"/>
  <c r="M37" i="83"/>
  <c r="M38" i="83"/>
  <c r="M39" i="83"/>
  <c r="M40" i="83"/>
  <c r="M41" i="83"/>
  <c r="G35" i="83"/>
  <c r="G36" i="83"/>
  <c r="G37" i="83"/>
  <c r="G38" i="83"/>
  <c r="G39" i="83"/>
  <c r="G40" i="83"/>
  <c r="G41" i="83"/>
  <c r="P35" i="83"/>
  <c r="P36" i="83"/>
  <c r="P37" i="83"/>
  <c r="P38" i="83"/>
  <c r="P39" i="83"/>
  <c r="P40" i="83"/>
  <c r="P41" i="83"/>
  <c r="P34" i="83"/>
  <c r="R34" i="83"/>
  <c r="S35" i="83"/>
  <c r="S36" i="83"/>
  <c r="S37" i="83"/>
  <c r="S38" i="83"/>
  <c r="S39" i="83"/>
  <c r="S40" i="83"/>
  <c r="S41" i="83"/>
  <c r="S27" i="83"/>
  <c r="S28" i="83"/>
  <c r="S29" i="83"/>
  <c r="S30" i="83"/>
  <c r="S31" i="83"/>
  <c r="S32" i="83"/>
  <c r="S33" i="83"/>
  <c r="L26" i="83"/>
  <c r="M27" i="83"/>
  <c r="M28" i="83"/>
  <c r="M29" i="83"/>
  <c r="M30" i="83"/>
  <c r="M31" i="83"/>
  <c r="M32" i="83"/>
  <c r="M33" i="83"/>
  <c r="M26" i="83"/>
  <c r="N26" i="83" s="1"/>
  <c r="P27" i="83"/>
  <c r="P28" i="83"/>
  <c r="P29" i="83"/>
  <c r="P30" i="83"/>
  <c r="P31" i="83"/>
  <c r="P32" i="83"/>
  <c r="P33" i="83"/>
  <c r="J7" i="83"/>
  <c r="J8" i="83"/>
  <c r="J9" i="83"/>
  <c r="J10" i="83"/>
  <c r="J11" i="83"/>
  <c r="J12" i="83"/>
  <c r="J13" i="83"/>
  <c r="J14" i="83"/>
  <c r="J15" i="83"/>
  <c r="J58" i="83"/>
  <c r="J59" i="83"/>
  <c r="J60" i="83"/>
  <c r="J61" i="83"/>
  <c r="J62" i="83"/>
  <c r="J63" i="83"/>
  <c r="J64" i="83"/>
  <c r="J65" i="83"/>
  <c r="J66" i="83"/>
  <c r="J67" i="83"/>
  <c r="J68" i="83"/>
  <c r="J69" i="83"/>
  <c r="J70" i="83"/>
  <c r="J71" i="83"/>
  <c r="J72" i="83"/>
  <c r="J73" i="83"/>
  <c r="J50" i="83"/>
  <c r="J51" i="83"/>
  <c r="J52" i="83"/>
  <c r="J53" i="83"/>
  <c r="J54" i="83"/>
  <c r="J55" i="83"/>
  <c r="J56" i="83"/>
  <c r="J49" i="83"/>
  <c r="K49" i="83" s="1"/>
  <c r="J43" i="83"/>
  <c r="J44" i="83"/>
  <c r="J45" i="83"/>
  <c r="J46" i="83"/>
  <c r="J47" i="83"/>
  <c r="J48" i="83"/>
  <c r="J42" i="83"/>
  <c r="J36" i="83"/>
  <c r="J37" i="83"/>
  <c r="J38" i="83"/>
  <c r="J39" i="83"/>
  <c r="J40" i="83"/>
  <c r="J41" i="83"/>
  <c r="J34" i="83"/>
  <c r="J27" i="83"/>
  <c r="J28" i="83"/>
  <c r="J29" i="83"/>
  <c r="J30" i="83"/>
  <c r="J31" i="83"/>
  <c r="J32" i="83"/>
  <c r="J26" i="83"/>
  <c r="M8" i="91"/>
  <c r="M51" i="91"/>
  <c r="AF20" i="28"/>
  <c r="X7" i="28"/>
  <c r="X9" i="28"/>
  <c r="X10" i="28"/>
  <c r="X11" i="28"/>
  <c r="AD73" i="28"/>
  <c r="AD44" i="28"/>
  <c r="AD35" i="28"/>
  <c r="AB72" i="28"/>
  <c r="AB71" i="28"/>
  <c r="AB70" i="28"/>
  <c r="AB69" i="28"/>
  <c r="AB68" i="28"/>
  <c r="AB67" i="28"/>
  <c r="AB66" i="28"/>
  <c r="AB64" i="28"/>
  <c r="AB63" i="28"/>
  <c r="AB62" i="28"/>
  <c r="AB61" i="28"/>
  <c r="AB60" i="28"/>
  <c r="AB59" i="28"/>
  <c r="AB58" i="28"/>
  <c r="AB56" i="28"/>
  <c r="AB55" i="28"/>
  <c r="AB54" i="28"/>
  <c r="AB53" i="28"/>
  <c r="AB52" i="28"/>
  <c r="AB51" i="28"/>
  <c r="AB50" i="28"/>
  <c r="AB47" i="28"/>
  <c r="AB46" i="28"/>
  <c r="AB45" i="28"/>
  <c r="AB44" i="28"/>
  <c r="AB43" i="28"/>
  <c r="AB41" i="28"/>
  <c r="AB40" i="28"/>
  <c r="AB39" i="28"/>
  <c r="AB38" i="28"/>
  <c r="AB37" i="28"/>
  <c r="AB36" i="28"/>
  <c r="AB35" i="28"/>
  <c r="AB33" i="28"/>
  <c r="AB32" i="28"/>
  <c r="AB31" i="28"/>
  <c r="AB30" i="28"/>
  <c r="AB29" i="28"/>
  <c r="AB28" i="28"/>
  <c r="AB27" i="28"/>
  <c r="AB25" i="28"/>
  <c r="AB24" i="28"/>
  <c r="AB23" i="28"/>
  <c r="AB22" i="28"/>
  <c r="AB21" i="28"/>
  <c r="AB20" i="28"/>
  <c r="AB19" i="28"/>
  <c r="AB18" i="28"/>
  <c r="AB17" i="28"/>
  <c r="AB14" i="28"/>
  <c r="AB13" i="28"/>
  <c r="AB11" i="28"/>
  <c r="AB10" i="28"/>
  <c r="AB9" i="28"/>
  <c r="AB8" i="28"/>
  <c r="O8" i="28" s="1"/>
  <c r="L72" i="86"/>
  <c r="L71" i="86"/>
  <c r="L70" i="86"/>
  <c r="L69" i="86"/>
  <c r="L68" i="86"/>
  <c r="L67" i="86"/>
  <c r="L65" i="86"/>
  <c r="L64" i="86"/>
  <c r="L63" i="86"/>
  <c r="L62" i="86"/>
  <c r="L60" i="86"/>
  <c r="L59" i="86"/>
  <c r="L58" i="86"/>
  <c r="L25" i="86"/>
  <c r="L24" i="86"/>
  <c r="L23" i="86"/>
  <c r="L22" i="86"/>
  <c r="L21" i="86"/>
  <c r="L20" i="86"/>
  <c r="L19" i="86"/>
  <c r="L18" i="86"/>
  <c r="L17" i="86"/>
  <c r="L15" i="86"/>
  <c r="L14" i="86"/>
  <c r="L13" i="86"/>
  <c r="L12" i="86"/>
  <c r="L11" i="86"/>
  <c r="L10" i="86"/>
  <c r="L9" i="86"/>
  <c r="L8" i="86"/>
  <c r="L7" i="86"/>
  <c r="AE73" i="86"/>
  <c r="I73" i="86" s="1"/>
  <c r="AE72" i="86"/>
  <c r="I72" i="86"/>
  <c r="AE71" i="86"/>
  <c r="I71" i="86" s="1"/>
  <c r="AF70" i="86"/>
  <c r="AE70" i="86"/>
  <c r="AE69" i="86"/>
  <c r="I69" i="86"/>
  <c r="AE68" i="86"/>
  <c r="AE67" i="86"/>
  <c r="I67" i="86"/>
  <c r="AE66" i="86"/>
  <c r="AE65" i="86"/>
  <c r="I65" i="86"/>
  <c r="AE64" i="86"/>
  <c r="AE63" i="86"/>
  <c r="I63" i="86"/>
  <c r="AE62" i="86"/>
  <c r="AF61" i="86"/>
  <c r="AE61" i="86"/>
  <c r="I61" i="86"/>
  <c r="I60" i="86"/>
  <c r="AF59" i="86"/>
  <c r="AE59" i="86"/>
  <c r="I59" i="86"/>
  <c r="AE58" i="86"/>
  <c r="I58" i="86" s="1"/>
  <c r="I25" i="86"/>
  <c r="I24" i="86"/>
  <c r="I23" i="86"/>
  <c r="I22" i="86"/>
  <c r="I21" i="86"/>
  <c r="I20" i="86"/>
  <c r="I19" i="86"/>
  <c r="I18" i="86"/>
  <c r="I17" i="86"/>
  <c r="AE15" i="86"/>
  <c r="I14" i="86"/>
  <c r="AE13" i="86"/>
  <c r="I13" i="86"/>
  <c r="AE12" i="86"/>
  <c r="I12" i="86" s="1"/>
  <c r="AE11" i="86"/>
  <c r="I11" i="86"/>
  <c r="AE10" i="86"/>
  <c r="I10" i="86" s="1"/>
  <c r="AE9" i="86"/>
  <c r="I9" i="86"/>
  <c r="AE8" i="86"/>
  <c r="I8" i="86" s="1"/>
  <c r="AE7" i="86"/>
  <c r="I7" i="86"/>
  <c r="F73" i="86"/>
  <c r="F72" i="86"/>
  <c r="F71" i="86"/>
  <c r="AB70" i="86"/>
  <c r="F70" i="86" s="1"/>
  <c r="AB69" i="86"/>
  <c r="F69" i="86"/>
  <c r="AB68" i="86"/>
  <c r="AB67" i="86"/>
  <c r="F67" i="86"/>
  <c r="AB66" i="86"/>
  <c r="F66" i="86" s="1"/>
  <c r="AB65" i="86"/>
  <c r="F65" i="86"/>
  <c r="AB64" i="86"/>
  <c r="AB63" i="86"/>
  <c r="F63" i="86"/>
  <c r="AB62" i="86"/>
  <c r="F62" i="86" s="1"/>
  <c r="F61" i="86"/>
  <c r="AB60" i="86"/>
  <c r="F60" i="86"/>
  <c r="AB59" i="86"/>
  <c r="F59" i="86" s="1"/>
  <c r="F58" i="86"/>
  <c r="AB15" i="86"/>
  <c r="F15" i="86" s="1"/>
  <c r="AB14" i="86"/>
  <c r="F14" i="86"/>
  <c r="AB13" i="86"/>
  <c r="F12" i="86"/>
  <c r="F11" i="86"/>
  <c r="F10" i="86"/>
  <c r="F9" i="86"/>
  <c r="F8" i="86"/>
  <c r="AB7" i="86"/>
  <c r="F7" i="86"/>
  <c r="C25" i="86"/>
  <c r="C24" i="86"/>
  <c r="C23" i="86"/>
  <c r="C22" i="86"/>
  <c r="C21" i="86"/>
  <c r="C20" i="86"/>
  <c r="Y19" i="86"/>
  <c r="C19" i="86"/>
  <c r="C18" i="86"/>
  <c r="C17" i="86"/>
  <c r="Y15" i="86"/>
  <c r="C15" i="86"/>
  <c r="C14" i="86"/>
  <c r="Y13" i="86"/>
  <c r="C13" i="86"/>
  <c r="Y12" i="86"/>
  <c r="C12" i="86" s="1"/>
  <c r="C11" i="86"/>
  <c r="C10" i="86"/>
  <c r="C9" i="86"/>
  <c r="C8" i="86"/>
  <c r="C7" i="86"/>
  <c r="AF6" i="28"/>
  <c r="AF26" i="28"/>
  <c r="AF34" i="28"/>
  <c r="AF42" i="28"/>
  <c r="AF57" i="28"/>
  <c r="AF49" i="28"/>
  <c r="AN50" i="91"/>
  <c r="AC56" i="28"/>
  <c r="R56" i="28" s="1"/>
  <c r="AC55" i="28"/>
  <c r="R55" i="28" s="1"/>
  <c r="AC53" i="28"/>
  <c r="AC52" i="28"/>
  <c r="R52" i="28" s="1"/>
  <c r="AC51" i="28"/>
  <c r="R51" i="28" s="1"/>
  <c r="AC48" i="28"/>
  <c r="AC41" i="28"/>
  <c r="R41" i="28" s="1"/>
  <c r="AC40" i="28"/>
  <c r="AC39" i="28"/>
  <c r="AC38" i="28"/>
  <c r="R38" i="28" s="1"/>
  <c r="AC37" i="28"/>
  <c r="R37" i="28" s="1"/>
  <c r="AC36" i="28"/>
  <c r="AC35" i="28"/>
  <c r="AC33" i="28"/>
  <c r="R33" i="28" s="1"/>
  <c r="AC32" i="28"/>
  <c r="R32" i="28" s="1"/>
  <c r="AC30" i="28"/>
  <c r="AC29" i="28"/>
  <c r="R29" i="28" s="1"/>
  <c r="AC28" i="28"/>
  <c r="R28" i="28" s="1"/>
  <c r="AC27" i="28"/>
  <c r="AC25" i="28"/>
  <c r="AC24" i="28"/>
  <c r="R24" i="28" s="1"/>
  <c r="AC23" i="28"/>
  <c r="R23" i="28" s="1"/>
  <c r="AC22" i="28"/>
  <c r="AC18" i="28"/>
  <c r="AC17" i="28"/>
  <c r="Z56" i="28"/>
  <c r="Z55" i="28"/>
  <c r="Z54" i="28"/>
  <c r="Z53" i="28"/>
  <c r="Z52" i="28"/>
  <c r="Z51" i="28"/>
  <c r="Z50" i="28"/>
  <c r="Z48" i="28"/>
  <c r="Z47" i="28"/>
  <c r="Z46" i="28"/>
  <c r="Z45" i="28"/>
  <c r="Z44" i="28"/>
  <c r="Z43" i="28"/>
  <c r="Z41" i="28"/>
  <c r="Z40" i="28"/>
  <c r="Z39" i="28"/>
  <c r="Z38" i="28"/>
  <c r="Z37" i="28"/>
  <c r="Z36" i="28"/>
  <c r="Z35" i="28"/>
  <c r="Z33" i="28"/>
  <c r="Z32" i="28"/>
  <c r="Z31" i="28"/>
  <c r="Z30" i="28"/>
  <c r="Z29" i="28"/>
  <c r="Z28" i="28"/>
  <c r="Z27" i="28"/>
  <c r="Z25" i="28"/>
  <c r="Z24" i="28"/>
  <c r="Z23" i="28"/>
  <c r="Z22" i="28"/>
  <c r="Z21" i="28"/>
  <c r="Z20" i="28"/>
  <c r="Z19" i="28"/>
  <c r="Z18" i="28"/>
  <c r="Z17" i="28"/>
  <c r="Z14" i="28"/>
  <c r="X73" i="28"/>
  <c r="X58" i="28"/>
  <c r="X56" i="28"/>
  <c r="X55" i="28"/>
  <c r="X53" i="28"/>
  <c r="X52" i="28"/>
  <c r="X50" i="28"/>
  <c r="X44" i="28"/>
  <c r="X43" i="28"/>
  <c r="X41" i="28"/>
  <c r="X40" i="28"/>
  <c r="X39" i="28"/>
  <c r="X38" i="28"/>
  <c r="X37" i="28"/>
  <c r="X36" i="28"/>
  <c r="X35" i="28"/>
  <c r="X33" i="28"/>
  <c r="X32" i="28"/>
  <c r="X30" i="28"/>
  <c r="X29" i="28"/>
  <c r="X28" i="28"/>
  <c r="X27" i="28"/>
  <c r="X25" i="28"/>
  <c r="X24" i="28"/>
  <c r="X23" i="28"/>
  <c r="X22" i="28"/>
  <c r="X21" i="28"/>
  <c r="X20" i="28"/>
  <c r="X18" i="28"/>
  <c r="X17" i="28"/>
  <c r="X14" i="28"/>
  <c r="Y72" i="28"/>
  <c r="Y71" i="28"/>
  <c r="Y61" i="28"/>
  <c r="Y58" i="28"/>
  <c r="Y56" i="28"/>
  <c r="Y55" i="28"/>
  <c r="Y53" i="28"/>
  <c r="Y52" i="28"/>
  <c r="Y50" i="28"/>
  <c r="Y46" i="28"/>
  <c r="Y45" i="28"/>
  <c r="Y44" i="28"/>
  <c r="Y43" i="28"/>
  <c r="Y41" i="28"/>
  <c r="Y40" i="28"/>
  <c r="Y39" i="28"/>
  <c r="Y38" i="28"/>
  <c r="Y37" i="28"/>
  <c r="Y36" i="28"/>
  <c r="Y35" i="28"/>
  <c r="Y33" i="28"/>
  <c r="Y32" i="28"/>
  <c r="Y31" i="28"/>
  <c r="Y30" i="28"/>
  <c r="Y29" i="28"/>
  <c r="Y28" i="28"/>
  <c r="Y27" i="28"/>
  <c r="Y25" i="28"/>
  <c r="Y24" i="28"/>
  <c r="Y23" i="28"/>
  <c r="Y22" i="28"/>
  <c r="Y21" i="28"/>
  <c r="Y20" i="28"/>
  <c r="Y19" i="28"/>
  <c r="Y18" i="28"/>
  <c r="Y17" i="28"/>
  <c r="Y11" i="28"/>
  <c r="Y10" i="28"/>
  <c r="Y9" i="28"/>
  <c r="R53" i="28"/>
  <c r="R48" i="28"/>
  <c r="R40" i="28"/>
  <c r="R39" i="28"/>
  <c r="R36" i="28"/>
  <c r="R35" i="28"/>
  <c r="R30" i="28"/>
  <c r="R27" i="28"/>
  <c r="R25" i="28"/>
  <c r="R22" i="28"/>
  <c r="R18" i="28"/>
  <c r="R17" i="28"/>
  <c r="AE43" i="28"/>
  <c r="AE44" i="28"/>
  <c r="AE45" i="28"/>
  <c r="AE42" i="28" s="1"/>
  <c r="AE46" i="28"/>
  <c r="AE48" i="28"/>
  <c r="AE73" i="28"/>
  <c r="AE72" i="28"/>
  <c r="AE71" i="28"/>
  <c r="AE70" i="28"/>
  <c r="AE69" i="28"/>
  <c r="AE68" i="28"/>
  <c r="AE67" i="28"/>
  <c r="AE66" i="28"/>
  <c r="AE65" i="28"/>
  <c r="AE64" i="28"/>
  <c r="AE63" i="28"/>
  <c r="AE62" i="28"/>
  <c r="AE61" i="28"/>
  <c r="AE57" i="28" s="1"/>
  <c r="AE60" i="28"/>
  <c r="AE59" i="28"/>
  <c r="AE56" i="28"/>
  <c r="AE55" i="28"/>
  <c r="AE54" i="28"/>
  <c r="AE53" i="28"/>
  <c r="AE52" i="28"/>
  <c r="AE51" i="28"/>
  <c r="AE50" i="28"/>
  <c r="AE41" i="28"/>
  <c r="AE40" i="28"/>
  <c r="AE39" i="28"/>
  <c r="AE38" i="28"/>
  <c r="AE37" i="28"/>
  <c r="AE36" i="28"/>
  <c r="AE35" i="28"/>
  <c r="AE34" i="28" s="1"/>
  <c r="AE33" i="28"/>
  <c r="AE32" i="28"/>
  <c r="AE31" i="28"/>
  <c r="AE30" i="28"/>
  <c r="AE26" i="28" s="1"/>
  <c r="AE29" i="28"/>
  <c r="AE28" i="28"/>
  <c r="AE27" i="28"/>
  <c r="AE25" i="28"/>
  <c r="AE24" i="28"/>
  <c r="AE23" i="28"/>
  <c r="AE22" i="28"/>
  <c r="AE21" i="28"/>
  <c r="AE20" i="28"/>
  <c r="AE19" i="28"/>
  <c r="AE18" i="28"/>
  <c r="AE17" i="28"/>
  <c r="AE16" i="28" s="1"/>
  <c r="AE15" i="28"/>
  <c r="AE14" i="28"/>
  <c r="AE13" i="28"/>
  <c r="AE12" i="28"/>
  <c r="AE11" i="28"/>
  <c r="AE10" i="28"/>
  <c r="AE9" i="28"/>
  <c r="AE8" i="28"/>
  <c r="AE7" i="28"/>
  <c r="AE58" i="28"/>
  <c r="P11" i="86"/>
  <c r="P11" i="91"/>
  <c r="P11" i="83"/>
  <c r="P11" i="28" s="1"/>
  <c r="P11" i="104"/>
  <c r="O11" i="28"/>
  <c r="Q11" i="28"/>
  <c r="V7" i="104"/>
  <c r="V8" i="104"/>
  <c r="V9" i="104"/>
  <c r="V10" i="104"/>
  <c r="V11" i="104"/>
  <c r="V12" i="104"/>
  <c r="V13" i="104"/>
  <c r="V14" i="104"/>
  <c r="V15" i="104"/>
  <c r="V17" i="104"/>
  <c r="V18" i="104"/>
  <c r="V19" i="104"/>
  <c r="V16" i="104" s="1"/>
  <c r="V20" i="104"/>
  <c r="V25" i="104"/>
  <c r="V35" i="104"/>
  <c r="V34" i="104" s="1"/>
  <c r="V44" i="104"/>
  <c r="V45" i="104"/>
  <c r="V46" i="104"/>
  <c r="V47" i="104"/>
  <c r="V48" i="104"/>
  <c r="V50" i="104"/>
  <c r="V51" i="104"/>
  <c r="V52" i="104"/>
  <c r="V53" i="104"/>
  <c r="V54" i="104"/>
  <c r="V55" i="104"/>
  <c r="V56" i="104"/>
  <c r="V58" i="104"/>
  <c r="V59" i="104"/>
  <c r="V60" i="104"/>
  <c r="V61" i="104"/>
  <c r="V57" i="104" s="1"/>
  <c r="V62" i="104"/>
  <c r="V63" i="104"/>
  <c r="V64" i="104"/>
  <c r="V65" i="104"/>
  <c r="V66" i="104"/>
  <c r="V67" i="104"/>
  <c r="V68" i="104"/>
  <c r="V69" i="104"/>
  <c r="V70" i="104"/>
  <c r="V71" i="104"/>
  <c r="V72" i="104"/>
  <c r="V73" i="104"/>
  <c r="S7" i="104"/>
  <c r="S8" i="104"/>
  <c r="S9" i="104"/>
  <c r="S10" i="104"/>
  <c r="S11" i="104"/>
  <c r="S12" i="104"/>
  <c r="S13" i="104"/>
  <c r="S14" i="104"/>
  <c r="S15" i="104"/>
  <c r="S6" i="104"/>
  <c r="S17" i="104"/>
  <c r="S18" i="104"/>
  <c r="S19" i="104"/>
  <c r="S20" i="104"/>
  <c r="S21" i="104"/>
  <c r="S22" i="104"/>
  <c r="S23" i="104"/>
  <c r="S24" i="104"/>
  <c r="S25" i="104"/>
  <c r="S27" i="104"/>
  <c r="S28" i="104"/>
  <c r="S29" i="104"/>
  <c r="S30" i="104"/>
  <c r="S31" i="104"/>
  <c r="S32" i="104"/>
  <c r="S33" i="104"/>
  <c r="S35" i="104"/>
  <c r="S36" i="104"/>
  <c r="S37" i="104"/>
  <c r="S38" i="104"/>
  <c r="S39" i="104"/>
  <c r="S40" i="104"/>
  <c r="S41" i="104"/>
  <c r="S43" i="104"/>
  <c r="S44" i="104"/>
  <c r="S45" i="104"/>
  <c r="S46" i="104"/>
  <c r="S48" i="104"/>
  <c r="S50" i="104"/>
  <c r="S51" i="104"/>
  <c r="S52" i="104"/>
  <c r="S53" i="104"/>
  <c r="S54" i="104"/>
  <c r="S55" i="104"/>
  <c r="S56" i="104"/>
  <c r="S58" i="104"/>
  <c r="S58" i="28" s="1"/>
  <c r="S59" i="104"/>
  <c r="S60" i="104"/>
  <c r="S61" i="104"/>
  <c r="S62" i="104"/>
  <c r="S62" i="28" s="1"/>
  <c r="S63" i="104"/>
  <c r="S64" i="104"/>
  <c r="S65" i="104"/>
  <c r="S65" i="28" s="1"/>
  <c r="S66" i="104"/>
  <c r="S66" i="28" s="1"/>
  <c r="S67" i="104"/>
  <c r="S68" i="104"/>
  <c r="S69" i="104"/>
  <c r="S69" i="28" s="1"/>
  <c r="S70" i="104"/>
  <c r="S70" i="28" s="1"/>
  <c r="S71" i="104"/>
  <c r="S72" i="104"/>
  <c r="S73" i="104"/>
  <c r="S73" i="28" s="1"/>
  <c r="P7" i="104"/>
  <c r="P8" i="104"/>
  <c r="P9" i="104"/>
  <c r="P10" i="104"/>
  <c r="P12" i="104"/>
  <c r="P13" i="104"/>
  <c r="P14" i="104"/>
  <c r="P15" i="104"/>
  <c r="P17" i="104"/>
  <c r="P18" i="104"/>
  <c r="P19" i="104"/>
  <c r="P20" i="104"/>
  <c r="P21" i="104"/>
  <c r="P22" i="104"/>
  <c r="P23" i="104"/>
  <c r="P24" i="104"/>
  <c r="P25" i="104"/>
  <c r="P16" i="104"/>
  <c r="P27" i="104"/>
  <c r="P28" i="104"/>
  <c r="P29" i="104"/>
  <c r="P30" i="104"/>
  <c r="P31" i="104"/>
  <c r="P32" i="104"/>
  <c r="P33" i="104"/>
  <c r="P26" i="104"/>
  <c r="P35" i="104"/>
  <c r="P36" i="104"/>
  <c r="P37" i="104"/>
  <c r="P38" i="104"/>
  <c r="P39" i="104"/>
  <c r="P40" i="104"/>
  <c r="P41" i="104"/>
  <c r="P34" i="104"/>
  <c r="P43" i="104"/>
  <c r="P44" i="104"/>
  <c r="P45" i="104"/>
  <c r="P46" i="104"/>
  <c r="P47" i="104"/>
  <c r="P48" i="104"/>
  <c r="P50" i="104"/>
  <c r="P51" i="104"/>
  <c r="P52" i="104"/>
  <c r="P53" i="104"/>
  <c r="P54" i="104"/>
  <c r="P55" i="104"/>
  <c r="P56" i="104"/>
  <c r="P58" i="104"/>
  <c r="P59" i="104"/>
  <c r="P60" i="104"/>
  <c r="P61" i="104"/>
  <c r="P62" i="104"/>
  <c r="P63" i="104"/>
  <c r="P64" i="104"/>
  <c r="P65" i="104"/>
  <c r="P66" i="104"/>
  <c r="P67" i="104"/>
  <c r="P68" i="104"/>
  <c r="P69" i="104"/>
  <c r="P70" i="104"/>
  <c r="P71" i="104"/>
  <c r="P72" i="104"/>
  <c r="P73" i="104"/>
  <c r="P57" i="104"/>
  <c r="M7" i="104"/>
  <c r="M8" i="104"/>
  <c r="M9" i="104"/>
  <c r="M10" i="104"/>
  <c r="M11" i="104"/>
  <c r="M12" i="104"/>
  <c r="M13" i="104"/>
  <c r="M14" i="104"/>
  <c r="M15" i="104"/>
  <c r="M17" i="104"/>
  <c r="M18" i="104"/>
  <c r="M19" i="104"/>
  <c r="M20" i="104"/>
  <c r="M21" i="104"/>
  <c r="M22" i="104"/>
  <c r="M23" i="104"/>
  <c r="M24" i="104"/>
  <c r="M25" i="104"/>
  <c r="M27" i="104"/>
  <c r="M28" i="104"/>
  <c r="M29" i="104"/>
  <c r="M30" i="104"/>
  <c r="M31" i="104"/>
  <c r="M32" i="104"/>
  <c r="M33" i="104"/>
  <c r="M35" i="104"/>
  <c r="M36" i="104"/>
  <c r="M37" i="104"/>
  <c r="M38" i="104"/>
  <c r="M39" i="104"/>
  <c r="M40" i="104"/>
  <c r="M41" i="104"/>
  <c r="M43" i="104"/>
  <c r="M44" i="104"/>
  <c r="M45" i="104"/>
  <c r="M46" i="104"/>
  <c r="M47" i="104"/>
  <c r="M48" i="104"/>
  <c r="M50" i="104"/>
  <c r="M51" i="104"/>
  <c r="M52" i="104"/>
  <c r="M53" i="104"/>
  <c r="M54" i="104"/>
  <c r="M55" i="104"/>
  <c r="M56" i="104"/>
  <c r="M58" i="104"/>
  <c r="M59" i="104"/>
  <c r="M60" i="104"/>
  <c r="M61" i="104"/>
  <c r="M62" i="104"/>
  <c r="M63" i="104"/>
  <c r="M64" i="104"/>
  <c r="M65" i="104"/>
  <c r="M66" i="104"/>
  <c r="M67" i="104"/>
  <c r="M68" i="104"/>
  <c r="M69" i="104"/>
  <c r="M70" i="104"/>
  <c r="M71" i="104"/>
  <c r="M72" i="104"/>
  <c r="M73" i="104"/>
  <c r="J7" i="104"/>
  <c r="J8" i="104"/>
  <c r="J9" i="104"/>
  <c r="J10" i="104"/>
  <c r="J11" i="104"/>
  <c r="J12" i="104"/>
  <c r="J13" i="104"/>
  <c r="J14" i="104"/>
  <c r="J15" i="104"/>
  <c r="J6" i="104"/>
  <c r="J17" i="104"/>
  <c r="J18" i="104"/>
  <c r="J19" i="104"/>
  <c r="J20" i="104"/>
  <c r="J21" i="104"/>
  <c r="J22" i="104"/>
  <c r="J23" i="104"/>
  <c r="J24" i="104"/>
  <c r="J25" i="104"/>
  <c r="J27" i="104"/>
  <c r="J28" i="104"/>
  <c r="J29" i="104"/>
  <c r="J30" i="104"/>
  <c r="J31" i="104"/>
  <c r="J32" i="104"/>
  <c r="J33" i="104"/>
  <c r="J35" i="104"/>
  <c r="J36" i="104"/>
  <c r="J37" i="104"/>
  <c r="J38" i="104"/>
  <c r="J39" i="104"/>
  <c r="J40" i="104"/>
  <c r="J41" i="104"/>
  <c r="J43" i="104"/>
  <c r="J44" i="104"/>
  <c r="J45" i="104"/>
  <c r="J46" i="104"/>
  <c r="J47" i="104"/>
  <c r="J48" i="104"/>
  <c r="J50" i="104"/>
  <c r="J51" i="104"/>
  <c r="J52" i="104"/>
  <c r="J53" i="104"/>
  <c r="J54" i="104"/>
  <c r="J55" i="104"/>
  <c r="J56" i="104"/>
  <c r="J49" i="104"/>
  <c r="J58" i="104"/>
  <c r="J59" i="104"/>
  <c r="J60" i="104"/>
  <c r="J61" i="104"/>
  <c r="J62" i="104"/>
  <c r="J63" i="104"/>
  <c r="J64" i="104"/>
  <c r="J65" i="104"/>
  <c r="J66" i="104"/>
  <c r="J67" i="104"/>
  <c r="J68" i="104"/>
  <c r="J69" i="104"/>
  <c r="J70" i="104"/>
  <c r="J71" i="104"/>
  <c r="J72" i="104"/>
  <c r="J73" i="104"/>
  <c r="G7" i="104"/>
  <c r="G8" i="104"/>
  <c r="G9" i="104"/>
  <c r="G10" i="104"/>
  <c r="G11" i="104"/>
  <c r="G12" i="104"/>
  <c r="G13" i="104"/>
  <c r="G14" i="104"/>
  <c r="G15" i="104"/>
  <c r="G17" i="104"/>
  <c r="G18" i="104"/>
  <c r="G19" i="104"/>
  <c r="G20" i="104"/>
  <c r="G21" i="104"/>
  <c r="G22" i="104"/>
  <c r="G23" i="104"/>
  <c r="G24" i="104"/>
  <c r="G25" i="104"/>
  <c r="G27" i="104"/>
  <c r="G28" i="104"/>
  <c r="G29" i="104"/>
  <c r="G30" i="104"/>
  <c r="G31" i="104"/>
  <c r="G32" i="104"/>
  <c r="G33" i="104"/>
  <c r="G35" i="104"/>
  <c r="G36" i="104"/>
  <c r="G37" i="104"/>
  <c r="G38" i="104"/>
  <c r="G39" i="104"/>
  <c r="G40" i="104"/>
  <c r="G41" i="104"/>
  <c r="G43" i="104"/>
  <c r="G44" i="104"/>
  <c r="G45" i="104"/>
  <c r="G46" i="104"/>
  <c r="G47" i="104"/>
  <c r="G48" i="104"/>
  <c r="G50" i="104"/>
  <c r="G51" i="104"/>
  <c r="G52" i="104"/>
  <c r="G53" i="104"/>
  <c r="G54" i="104"/>
  <c r="G55" i="104"/>
  <c r="G56" i="104"/>
  <c r="G58" i="104"/>
  <c r="G59" i="104"/>
  <c r="G60" i="104"/>
  <c r="G61" i="104"/>
  <c r="G62" i="104"/>
  <c r="G63" i="104"/>
  <c r="G64" i="104"/>
  <c r="G65" i="104"/>
  <c r="G66" i="104"/>
  <c r="G67" i="104"/>
  <c r="G68" i="104"/>
  <c r="G69" i="104"/>
  <c r="G70" i="104"/>
  <c r="G71" i="104"/>
  <c r="G72" i="104"/>
  <c r="G73" i="104"/>
  <c r="D7" i="104"/>
  <c r="D8" i="104"/>
  <c r="D9" i="104"/>
  <c r="D10" i="104"/>
  <c r="D11" i="104"/>
  <c r="D12" i="104"/>
  <c r="D13" i="104"/>
  <c r="D14" i="104"/>
  <c r="D15" i="104"/>
  <c r="D17" i="104"/>
  <c r="D18" i="104"/>
  <c r="D19" i="104"/>
  <c r="D20" i="104"/>
  <c r="D21" i="104"/>
  <c r="D22" i="104"/>
  <c r="D23" i="104"/>
  <c r="D24" i="104"/>
  <c r="D25" i="104"/>
  <c r="D16" i="104"/>
  <c r="D27" i="104"/>
  <c r="D28" i="104"/>
  <c r="D29" i="104"/>
  <c r="D30" i="104"/>
  <c r="D31" i="104"/>
  <c r="D32" i="104"/>
  <c r="D33" i="104"/>
  <c r="D26" i="104"/>
  <c r="D35" i="104"/>
  <c r="D36" i="104"/>
  <c r="D37" i="104"/>
  <c r="D38" i="104"/>
  <c r="D39" i="104"/>
  <c r="D40" i="104"/>
  <c r="D41" i="104"/>
  <c r="D34" i="104"/>
  <c r="D43" i="104"/>
  <c r="D44" i="104"/>
  <c r="D45" i="104"/>
  <c r="D46" i="104"/>
  <c r="D47" i="104"/>
  <c r="D48" i="104"/>
  <c r="D50" i="104"/>
  <c r="D51" i="104"/>
  <c r="D52" i="104"/>
  <c r="D53" i="104"/>
  <c r="D54" i="104"/>
  <c r="D55" i="104"/>
  <c r="D56" i="104"/>
  <c r="D58" i="104"/>
  <c r="D59" i="104"/>
  <c r="D60" i="104"/>
  <c r="D61" i="104"/>
  <c r="D62" i="104"/>
  <c r="D63" i="104"/>
  <c r="D64" i="104"/>
  <c r="D65" i="104"/>
  <c r="D66" i="104"/>
  <c r="D67" i="104"/>
  <c r="D68" i="104"/>
  <c r="D69" i="104"/>
  <c r="D70" i="104"/>
  <c r="D71" i="104"/>
  <c r="D72" i="104"/>
  <c r="D73" i="104"/>
  <c r="D57" i="104"/>
  <c r="S72" i="28"/>
  <c r="S71" i="28"/>
  <c r="S68" i="28"/>
  <c r="S67" i="28"/>
  <c r="S64" i="28"/>
  <c r="S63" i="28"/>
  <c r="S60" i="28"/>
  <c r="S59" i="28"/>
  <c r="V35" i="83"/>
  <c r="V34" i="83" s="1"/>
  <c r="V73" i="83"/>
  <c r="V57" i="83" s="1"/>
  <c r="O49" i="83"/>
  <c r="M50" i="83"/>
  <c r="M51" i="83"/>
  <c r="M52" i="83"/>
  <c r="M53" i="83"/>
  <c r="M54" i="83"/>
  <c r="M55" i="83"/>
  <c r="M56" i="83"/>
  <c r="L49" i="83"/>
  <c r="I50" i="83"/>
  <c r="I51" i="83"/>
  <c r="I52" i="83"/>
  <c r="I53" i="83"/>
  <c r="I54" i="83"/>
  <c r="I55" i="83"/>
  <c r="I56" i="83"/>
  <c r="I49" i="83"/>
  <c r="F50" i="83"/>
  <c r="F51" i="83"/>
  <c r="F52" i="83"/>
  <c r="F53" i="83"/>
  <c r="F55" i="83"/>
  <c r="F56" i="83"/>
  <c r="D50" i="83"/>
  <c r="D51" i="83"/>
  <c r="D52" i="83"/>
  <c r="D53" i="83"/>
  <c r="D54" i="83"/>
  <c r="D55" i="83"/>
  <c r="D56" i="83"/>
  <c r="C50" i="83"/>
  <c r="C51" i="83"/>
  <c r="C52" i="83"/>
  <c r="C53" i="83"/>
  <c r="C55" i="83"/>
  <c r="C56" i="83"/>
  <c r="G50" i="83"/>
  <c r="H50" i="83" s="1"/>
  <c r="G51" i="83"/>
  <c r="G52" i="83"/>
  <c r="G53" i="83"/>
  <c r="G54" i="83"/>
  <c r="G55" i="83"/>
  <c r="G56" i="83"/>
  <c r="G49" i="83"/>
  <c r="I60" i="83"/>
  <c r="I48" i="83"/>
  <c r="I47" i="83"/>
  <c r="I46" i="83"/>
  <c r="I45" i="83"/>
  <c r="I44" i="83"/>
  <c r="I43" i="83"/>
  <c r="I41" i="83"/>
  <c r="I40" i="83"/>
  <c r="I39" i="83"/>
  <c r="I38" i="83"/>
  <c r="I37" i="83"/>
  <c r="I36" i="83"/>
  <c r="I35" i="83"/>
  <c r="I33" i="83"/>
  <c r="I32" i="83"/>
  <c r="I31" i="83"/>
  <c r="I30" i="83"/>
  <c r="I29" i="83"/>
  <c r="I28" i="83"/>
  <c r="I27" i="83"/>
  <c r="I25" i="83"/>
  <c r="I24" i="83"/>
  <c r="I23" i="83"/>
  <c r="I22" i="83"/>
  <c r="I21" i="83"/>
  <c r="I20" i="83"/>
  <c r="I19" i="83"/>
  <c r="I18" i="83"/>
  <c r="I17" i="83"/>
  <c r="I14" i="83"/>
  <c r="D58" i="83"/>
  <c r="D59" i="83"/>
  <c r="D60" i="83"/>
  <c r="D61" i="83"/>
  <c r="D63" i="83"/>
  <c r="D64" i="83"/>
  <c r="D65" i="83"/>
  <c r="D66" i="83"/>
  <c r="D67" i="83"/>
  <c r="D68" i="83"/>
  <c r="D69" i="83"/>
  <c r="D70" i="83"/>
  <c r="D71" i="83"/>
  <c r="D72" i="83"/>
  <c r="D73" i="83"/>
  <c r="C58" i="83"/>
  <c r="C59" i="83"/>
  <c r="C60" i="83"/>
  <c r="C73" i="83"/>
  <c r="D43" i="83"/>
  <c r="D44" i="83"/>
  <c r="D45" i="83"/>
  <c r="D46" i="83"/>
  <c r="D47" i="83"/>
  <c r="D48" i="83"/>
  <c r="D42" i="83"/>
  <c r="C43" i="83"/>
  <c r="C44" i="83"/>
  <c r="C45" i="83"/>
  <c r="D35" i="83"/>
  <c r="D36" i="83"/>
  <c r="D37" i="83"/>
  <c r="D34" i="83" s="1"/>
  <c r="D38" i="83"/>
  <c r="D39" i="83"/>
  <c r="D40" i="83"/>
  <c r="D41" i="83"/>
  <c r="C35" i="83"/>
  <c r="C36" i="83"/>
  <c r="C37" i="83"/>
  <c r="C34" i="83" s="1"/>
  <c r="C38" i="83"/>
  <c r="C39" i="83"/>
  <c r="C40" i="83"/>
  <c r="C41" i="83"/>
  <c r="D27" i="83"/>
  <c r="D28" i="83"/>
  <c r="D29" i="83"/>
  <c r="D30" i="83"/>
  <c r="D31" i="83"/>
  <c r="D32" i="83"/>
  <c r="D33" i="83"/>
  <c r="C27" i="83"/>
  <c r="C28" i="83"/>
  <c r="C29" i="83"/>
  <c r="C30" i="83"/>
  <c r="C32" i="83"/>
  <c r="C33" i="83"/>
  <c r="F73" i="83"/>
  <c r="F72" i="83"/>
  <c r="F71" i="83"/>
  <c r="F61" i="83"/>
  <c r="F58" i="83"/>
  <c r="F46" i="83"/>
  <c r="F45" i="83"/>
  <c r="F44" i="83"/>
  <c r="F43" i="83"/>
  <c r="F41" i="83"/>
  <c r="F40" i="83"/>
  <c r="F39" i="83"/>
  <c r="F38" i="83"/>
  <c r="F37" i="83"/>
  <c r="F36" i="83"/>
  <c r="F35" i="83"/>
  <c r="F34" i="83" s="1"/>
  <c r="F33" i="83"/>
  <c r="F32" i="83"/>
  <c r="F31" i="83"/>
  <c r="F30" i="83"/>
  <c r="F29" i="83"/>
  <c r="F28" i="83"/>
  <c r="F27" i="83"/>
  <c r="F25" i="83"/>
  <c r="F24" i="83"/>
  <c r="F23" i="83"/>
  <c r="F22" i="83"/>
  <c r="F21" i="83"/>
  <c r="F20" i="83"/>
  <c r="F19" i="83"/>
  <c r="F18" i="83"/>
  <c r="F17" i="83"/>
  <c r="F12" i="83"/>
  <c r="F11" i="83"/>
  <c r="F10" i="83"/>
  <c r="F9" i="83"/>
  <c r="F8" i="83"/>
  <c r="G43" i="83"/>
  <c r="G44" i="83"/>
  <c r="G42" i="83" s="1"/>
  <c r="G45" i="83"/>
  <c r="G46" i="83"/>
  <c r="G47" i="83"/>
  <c r="G48" i="83"/>
  <c r="AN34" i="83"/>
  <c r="AK16" i="83"/>
  <c r="AK26" i="83"/>
  <c r="AK34" i="83"/>
  <c r="AK49" i="83"/>
  <c r="AH6" i="83"/>
  <c r="AH16" i="83"/>
  <c r="AH26" i="83"/>
  <c r="AH34" i="83"/>
  <c r="AH49" i="83"/>
  <c r="AE16" i="83"/>
  <c r="AE26" i="83"/>
  <c r="AE34" i="83"/>
  <c r="AE42" i="83"/>
  <c r="AE49" i="83"/>
  <c r="AB16" i="83"/>
  <c r="AB26" i="83"/>
  <c r="AB34" i="83"/>
  <c r="Y34" i="83"/>
  <c r="V20" i="83"/>
  <c r="V16" i="83"/>
  <c r="S7" i="83"/>
  <c r="S8" i="83"/>
  <c r="S9" i="83"/>
  <c r="S10" i="83"/>
  <c r="S11" i="83"/>
  <c r="S12" i="83"/>
  <c r="S13" i="83"/>
  <c r="S14" i="83"/>
  <c r="S15" i="83"/>
  <c r="S17" i="83"/>
  <c r="S18" i="83"/>
  <c r="S19" i="83"/>
  <c r="S20" i="83"/>
  <c r="S21" i="83"/>
  <c r="S22" i="83"/>
  <c r="S23" i="83"/>
  <c r="S24" i="83"/>
  <c r="S25" i="83"/>
  <c r="S16" i="83"/>
  <c r="P7" i="83"/>
  <c r="P8" i="83"/>
  <c r="P9" i="83"/>
  <c r="P10" i="83"/>
  <c r="P6" i="83" s="1"/>
  <c r="P12" i="83"/>
  <c r="P13" i="83"/>
  <c r="P14" i="83"/>
  <c r="P15" i="83"/>
  <c r="P17" i="83"/>
  <c r="P18" i="83"/>
  <c r="P19" i="83"/>
  <c r="P20" i="83"/>
  <c r="P21" i="83"/>
  <c r="P22" i="83"/>
  <c r="P23" i="83"/>
  <c r="P24" i="83"/>
  <c r="P25" i="83"/>
  <c r="P50" i="83"/>
  <c r="P51" i="83"/>
  <c r="P52" i="83"/>
  <c r="P53" i="83"/>
  <c r="P54" i="83"/>
  <c r="P55" i="83"/>
  <c r="P56" i="83"/>
  <c r="P58" i="83"/>
  <c r="P59" i="83"/>
  <c r="P60" i="83"/>
  <c r="P61" i="83"/>
  <c r="P62" i="83"/>
  <c r="P63" i="83"/>
  <c r="P64" i="83"/>
  <c r="P65" i="83"/>
  <c r="P66" i="83"/>
  <c r="P67" i="83"/>
  <c r="P68" i="83"/>
  <c r="P69" i="83"/>
  <c r="P70" i="83"/>
  <c r="P71" i="83"/>
  <c r="P72" i="83"/>
  <c r="P73" i="83"/>
  <c r="P57" i="83"/>
  <c r="O16" i="83"/>
  <c r="M7" i="83"/>
  <c r="M8" i="83"/>
  <c r="M9" i="83"/>
  <c r="M10" i="83"/>
  <c r="M11" i="83"/>
  <c r="M12" i="83"/>
  <c r="M13" i="83"/>
  <c r="M14" i="83"/>
  <c r="M15" i="83"/>
  <c r="M17" i="83"/>
  <c r="M16" i="83" s="1"/>
  <c r="M18" i="83"/>
  <c r="M19" i="83"/>
  <c r="M20" i="83"/>
  <c r="M21" i="83"/>
  <c r="M22" i="83"/>
  <c r="M23" i="83"/>
  <c r="M24" i="83"/>
  <c r="M25" i="83"/>
  <c r="M58" i="83"/>
  <c r="M59" i="83"/>
  <c r="M60" i="83"/>
  <c r="M61" i="83"/>
  <c r="M62" i="83"/>
  <c r="M63" i="83"/>
  <c r="M64" i="83"/>
  <c r="M65" i="83"/>
  <c r="M66" i="83"/>
  <c r="M67" i="83"/>
  <c r="M68" i="83"/>
  <c r="M69" i="83"/>
  <c r="M70" i="83"/>
  <c r="M71" i="83"/>
  <c r="M72" i="83"/>
  <c r="M73" i="83"/>
  <c r="L16" i="83"/>
  <c r="L7" i="83"/>
  <c r="L6" i="83" s="1"/>
  <c r="J17" i="83"/>
  <c r="J18" i="83"/>
  <c r="J19" i="83"/>
  <c r="J20" i="83"/>
  <c r="J21" i="83"/>
  <c r="J22" i="83"/>
  <c r="J23" i="83"/>
  <c r="J24" i="83"/>
  <c r="J25" i="83"/>
  <c r="I16" i="83"/>
  <c r="G7" i="83"/>
  <c r="G8" i="83"/>
  <c r="G9" i="83"/>
  <c r="G10" i="83"/>
  <c r="G11" i="83"/>
  <c r="G12" i="83"/>
  <c r="G13" i="83"/>
  <c r="G14" i="83"/>
  <c r="G15" i="83"/>
  <c r="G17" i="83"/>
  <c r="G18" i="83"/>
  <c r="G19" i="83"/>
  <c r="G20" i="83"/>
  <c r="G21" i="83"/>
  <c r="G22" i="83"/>
  <c r="G23" i="83"/>
  <c r="G24" i="83"/>
  <c r="G25" i="83"/>
  <c r="G16" i="83"/>
  <c r="G27" i="83"/>
  <c r="G28" i="83"/>
  <c r="G29" i="83"/>
  <c r="G30" i="83"/>
  <c r="G31" i="83"/>
  <c r="G32" i="83"/>
  <c r="G33" i="83"/>
  <c r="G26" i="83"/>
  <c r="G58" i="83"/>
  <c r="G59" i="83"/>
  <c r="G60" i="83"/>
  <c r="G61" i="83"/>
  <c r="G62" i="83"/>
  <c r="G63" i="83"/>
  <c r="G64" i="83"/>
  <c r="G65" i="83"/>
  <c r="G66" i="83"/>
  <c r="G67" i="83"/>
  <c r="G68" i="83"/>
  <c r="G69" i="83"/>
  <c r="G70" i="83"/>
  <c r="G71" i="83"/>
  <c r="G72" i="83"/>
  <c r="G73" i="83"/>
  <c r="F16" i="83"/>
  <c r="D7" i="83"/>
  <c r="D8" i="83"/>
  <c r="D9" i="83"/>
  <c r="D10" i="83"/>
  <c r="D11" i="83"/>
  <c r="D12" i="83"/>
  <c r="D13" i="83"/>
  <c r="D14" i="83"/>
  <c r="D15" i="83"/>
  <c r="D17" i="83"/>
  <c r="D18" i="83"/>
  <c r="D19" i="83"/>
  <c r="D20" i="83"/>
  <c r="D21" i="83"/>
  <c r="D22" i="83"/>
  <c r="D23" i="83"/>
  <c r="D24" i="83"/>
  <c r="D25" i="83"/>
  <c r="C7" i="83"/>
  <c r="C8" i="83"/>
  <c r="C9" i="83"/>
  <c r="C10" i="83"/>
  <c r="C11" i="83"/>
  <c r="C14" i="83"/>
  <c r="C17" i="83"/>
  <c r="C18" i="83"/>
  <c r="C20" i="83"/>
  <c r="C21" i="83"/>
  <c r="C22" i="83"/>
  <c r="C23" i="83"/>
  <c r="C24" i="83"/>
  <c r="C25" i="83"/>
  <c r="AR42" i="91"/>
  <c r="AM42" i="91"/>
  <c r="AL42" i="91"/>
  <c r="AK42" i="91"/>
  <c r="AJ42" i="91"/>
  <c r="AI42" i="91"/>
  <c r="AH42" i="91"/>
  <c r="AG42" i="91"/>
  <c r="AF42" i="91"/>
  <c r="AE42" i="91"/>
  <c r="AD42" i="91"/>
  <c r="AC42" i="91"/>
  <c r="AA42" i="91"/>
  <c r="Z42" i="91"/>
  <c r="X42" i="91"/>
  <c r="V44" i="91"/>
  <c r="U44" i="91"/>
  <c r="W44" i="91" s="1"/>
  <c r="W42" i="91" s="1"/>
  <c r="V48" i="91"/>
  <c r="V42" i="91"/>
  <c r="S43" i="91"/>
  <c r="S44" i="91"/>
  <c r="S45" i="91"/>
  <c r="S46" i="91"/>
  <c r="S47" i="91"/>
  <c r="S48" i="91"/>
  <c r="S42" i="91"/>
  <c r="R48" i="91"/>
  <c r="P44" i="91"/>
  <c r="O44" i="91"/>
  <c r="P46" i="91"/>
  <c r="O46" i="91"/>
  <c r="Q46" i="91"/>
  <c r="P43" i="91"/>
  <c r="P45" i="91"/>
  <c r="P47" i="91"/>
  <c r="P48" i="91"/>
  <c r="O43" i="91"/>
  <c r="O45" i="91"/>
  <c r="O47" i="91"/>
  <c r="L43" i="91"/>
  <c r="L44" i="91"/>
  <c r="L45" i="91"/>
  <c r="L46" i="91"/>
  <c r="L47" i="91"/>
  <c r="J43" i="91"/>
  <c r="J44" i="91"/>
  <c r="J45" i="91"/>
  <c r="J46" i="91"/>
  <c r="J47" i="91"/>
  <c r="J48" i="91"/>
  <c r="I43" i="91"/>
  <c r="I44" i="91"/>
  <c r="I45" i="91"/>
  <c r="I46" i="91"/>
  <c r="I47" i="91"/>
  <c r="G43" i="91"/>
  <c r="G44" i="91"/>
  <c r="G45" i="91"/>
  <c r="G46" i="91"/>
  <c r="G47" i="91"/>
  <c r="G48" i="91"/>
  <c r="G42" i="91"/>
  <c r="F46" i="91"/>
  <c r="F45" i="91"/>
  <c r="F44" i="91"/>
  <c r="F43" i="91"/>
  <c r="D43" i="91"/>
  <c r="D44" i="91"/>
  <c r="D45" i="91"/>
  <c r="D46" i="91"/>
  <c r="D47" i="91"/>
  <c r="D48" i="91"/>
  <c r="D42" i="91"/>
  <c r="C43" i="91"/>
  <c r="C44" i="91"/>
  <c r="C45" i="91"/>
  <c r="AN34" i="91"/>
  <c r="AK16" i="91"/>
  <c r="AK26" i="91"/>
  <c r="AK34" i="91"/>
  <c r="AK49" i="91"/>
  <c r="AH6" i="91"/>
  <c r="AH16" i="91"/>
  <c r="AH26" i="91"/>
  <c r="AH34" i="91"/>
  <c r="AH49" i="91"/>
  <c r="AE60" i="91"/>
  <c r="Z60" i="28" s="1"/>
  <c r="AE16" i="91"/>
  <c r="AE26" i="91"/>
  <c r="AE34" i="91"/>
  <c r="AE49" i="91"/>
  <c r="AD57" i="91"/>
  <c r="AB34" i="91"/>
  <c r="AB26" i="91"/>
  <c r="AB16" i="91"/>
  <c r="Y60" i="91"/>
  <c r="X60" i="28" s="1"/>
  <c r="Y59" i="91"/>
  <c r="X59" i="28" s="1"/>
  <c r="Y34" i="91"/>
  <c r="X57" i="91"/>
  <c r="V7" i="91"/>
  <c r="V8" i="91"/>
  <c r="V9" i="91"/>
  <c r="V10" i="91"/>
  <c r="V11" i="91"/>
  <c r="V12" i="91"/>
  <c r="V13" i="91"/>
  <c r="V73" i="91"/>
  <c r="V57" i="91" s="1"/>
  <c r="U35" i="91"/>
  <c r="U20" i="91"/>
  <c r="U73" i="91"/>
  <c r="S7" i="91"/>
  <c r="S8" i="91"/>
  <c r="S9" i="91"/>
  <c r="S10" i="91"/>
  <c r="S11" i="91"/>
  <c r="S12" i="91"/>
  <c r="S13" i="91"/>
  <c r="S14" i="91"/>
  <c r="S15" i="91"/>
  <c r="S17" i="91"/>
  <c r="S18" i="91"/>
  <c r="S19" i="91"/>
  <c r="S20" i="91"/>
  <c r="S21" i="91"/>
  <c r="S22" i="91"/>
  <c r="S23" i="91"/>
  <c r="S24" i="91"/>
  <c r="S25" i="91"/>
  <c r="S27" i="91"/>
  <c r="S28" i="91"/>
  <c r="S29" i="91"/>
  <c r="S30" i="91"/>
  <c r="S31" i="91"/>
  <c r="S32" i="91"/>
  <c r="S33" i="91"/>
  <c r="S35" i="91"/>
  <c r="S36" i="91"/>
  <c r="S37" i="91"/>
  <c r="S38" i="91"/>
  <c r="S39" i="91"/>
  <c r="S40" i="91"/>
  <c r="S41" i="91"/>
  <c r="S50" i="91"/>
  <c r="S51" i="91"/>
  <c r="S52" i="91"/>
  <c r="S53" i="91"/>
  <c r="S54" i="91"/>
  <c r="S55" i="91"/>
  <c r="S56" i="91"/>
  <c r="R7" i="91"/>
  <c r="R17" i="91"/>
  <c r="R18" i="91"/>
  <c r="R20" i="91"/>
  <c r="R22" i="91"/>
  <c r="R23" i="91"/>
  <c r="R24" i="91"/>
  <c r="R25" i="91"/>
  <c r="R27" i="91"/>
  <c r="R28" i="91"/>
  <c r="R29" i="91"/>
  <c r="R30" i="91"/>
  <c r="R32" i="91"/>
  <c r="R33" i="91"/>
  <c r="R35" i="91"/>
  <c r="R34" i="91" s="1"/>
  <c r="R36" i="91"/>
  <c r="R37" i="91"/>
  <c r="R38" i="91"/>
  <c r="R39" i="91"/>
  <c r="R40" i="91"/>
  <c r="R41" i="91"/>
  <c r="R51" i="91"/>
  <c r="R52" i="91"/>
  <c r="R53" i="91"/>
  <c r="R55" i="91"/>
  <c r="R56" i="91"/>
  <c r="R50" i="91"/>
  <c r="P7" i="91"/>
  <c r="P8" i="91"/>
  <c r="P9" i="91"/>
  <c r="P10" i="91"/>
  <c r="P12" i="91"/>
  <c r="P13" i="91"/>
  <c r="P14" i="91"/>
  <c r="P15" i="91"/>
  <c r="P17" i="91"/>
  <c r="P18" i="91"/>
  <c r="P19" i="91"/>
  <c r="P20" i="91"/>
  <c r="P21" i="91"/>
  <c r="P22" i="91"/>
  <c r="P23" i="91"/>
  <c r="P24" i="91"/>
  <c r="P25" i="91"/>
  <c r="P16" i="91"/>
  <c r="P27" i="91"/>
  <c r="P28" i="91"/>
  <c r="P29" i="91"/>
  <c r="P30" i="91"/>
  <c r="P31" i="91"/>
  <c r="P32" i="91"/>
  <c r="P33" i="91"/>
  <c r="P26" i="91"/>
  <c r="P35" i="91"/>
  <c r="P36" i="91"/>
  <c r="P37" i="91"/>
  <c r="P38" i="91"/>
  <c r="P39" i="91"/>
  <c r="P40" i="91"/>
  <c r="P41" i="91"/>
  <c r="P34" i="91"/>
  <c r="P50" i="91"/>
  <c r="P51" i="91"/>
  <c r="P52" i="91"/>
  <c r="P53" i="91"/>
  <c r="P54" i="91"/>
  <c r="P55" i="91"/>
  <c r="P56" i="91"/>
  <c r="P49" i="91"/>
  <c r="P58" i="91"/>
  <c r="P59" i="91"/>
  <c r="P57" i="91" s="1"/>
  <c r="P60" i="91"/>
  <c r="P61" i="91"/>
  <c r="P62" i="91"/>
  <c r="P63" i="91"/>
  <c r="P64" i="91"/>
  <c r="P65" i="91"/>
  <c r="P66" i="91"/>
  <c r="P67" i="91"/>
  <c r="P68" i="91"/>
  <c r="P69" i="91"/>
  <c r="P70" i="91"/>
  <c r="P71" i="91"/>
  <c r="P72" i="91"/>
  <c r="P73" i="91"/>
  <c r="O7" i="91"/>
  <c r="O8" i="91"/>
  <c r="O9" i="91"/>
  <c r="O10" i="91"/>
  <c r="O11" i="91"/>
  <c r="O13" i="91"/>
  <c r="O14" i="91"/>
  <c r="O17" i="91"/>
  <c r="O18" i="91"/>
  <c r="O19" i="91"/>
  <c r="O20" i="91"/>
  <c r="O21" i="91"/>
  <c r="O22" i="91"/>
  <c r="O23" i="91"/>
  <c r="O24" i="91"/>
  <c r="O25" i="91"/>
  <c r="O16" i="91"/>
  <c r="Q16" i="91" s="1"/>
  <c r="O27" i="91"/>
  <c r="O28" i="91"/>
  <c r="O29" i="91"/>
  <c r="O30" i="91"/>
  <c r="O31" i="91"/>
  <c r="O32" i="91"/>
  <c r="O33" i="91"/>
  <c r="O26" i="91"/>
  <c r="Q26" i="91" s="1"/>
  <c r="O35" i="91"/>
  <c r="O36" i="91"/>
  <c r="O37" i="91"/>
  <c r="O38" i="91"/>
  <c r="O39" i="91"/>
  <c r="O40" i="91"/>
  <c r="O41" i="91"/>
  <c r="O34" i="91"/>
  <c r="Q34" i="91" s="1"/>
  <c r="O50" i="91"/>
  <c r="O51" i="91"/>
  <c r="O52" i="91"/>
  <c r="O53" i="91"/>
  <c r="O54" i="91"/>
  <c r="O55" i="91"/>
  <c r="O56" i="91"/>
  <c r="O49" i="91"/>
  <c r="Q49" i="91" s="1"/>
  <c r="O58" i="91"/>
  <c r="O59" i="91"/>
  <c r="O60" i="91"/>
  <c r="O61" i="91"/>
  <c r="O62" i="91"/>
  <c r="O63" i="91"/>
  <c r="O64" i="91"/>
  <c r="O65" i="91"/>
  <c r="O66" i="91"/>
  <c r="O67" i="91"/>
  <c r="O68" i="91"/>
  <c r="O69" i="91"/>
  <c r="O70" i="91"/>
  <c r="O71" i="91"/>
  <c r="O72" i="91"/>
  <c r="M7" i="91"/>
  <c r="M9" i="91"/>
  <c r="M10" i="91"/>
  <c r="M11" i="91"/>
  <c r="M12" i="91"/>
  <c r="M13" i="91"/>
  <c r="M14" i="91"/>
  <c r="M15" i="91"/>
  <c r="M50" i="91"/>
  <c r="M52" i="91"/>
  <c r="M53" i="91"/>
  <c r="M54" i="91"/>
  <c r="M55" i="91"/>
  <c r="M56" i="91"/>
  <c r="L7" i="91"/>
  <c r="L8" i="91"/>
  <c r="L9" i="91"/>
  <c r="L10" i="91"/>
  <c r="L11" i="91"/>
  <c r="L12" i="91"/>
  <c r="L13" i="91"/>
  <c r="L14" i="91"/>
  <c r="L15" i="91"/>
  <c r="L6" i="91"/>
  <c r="L17" i="91"/>
  <c r="L18" i="91"/>
  <c r="L19" i="91"/>
  <c r="L20" i="91"/>
  <c r="L21" i="91"/>
  <c r="L22" i="91"/>
  <c r="L23" i="91"/>
  <c r="L24" i="91"/>
  <c r="L25" i="91"/>
  <c r="L27" i="91"/>
  <c r="L28" i="91"/>
  <c r="L29" i="91"/>
  <c r="L30" i="91"/>
  <c r="L31" i="91"/>
  <c r="L32" i="91"/>
  <c r="L33" i="91"/>
  <c r="L35" i="91"/>
  <c r="L36" i="91"/>
  <c r="L37" i="91"/>
  <c r="L38" i="91"/>
  <c r="L39" i="91"/>
  <c r="L40" i="91"/>
  <c r="L41" i="91"/>
  <c r="L50" i="91"/>
  <c r="L51" i="91"/>
  <c r="L52" i="91"/>
  <c r="L53" i="91"/>
  <c r="L54" i="91"/>
  <c r="L55" i="91"/>
  <c r="L56" i="91"/>
  <c r="L58" i="91"/>
  <c r="L59" i="91"/>
  <c r="L60" i="91"/>
  <c r="L61" i="91"/>
  <c r="L62" i="91"/>
  <c r="L63" i="91"/>
  <c r="L64" i="91"/>
  <c r="L65" i="91"/>
  <c r="L66" i="91"/>
  <c r="L67" i="91"/>
  <c r="L68" i="91"/>
  <c r="L69" i="91"/>
  <c r="L71" i="91"/>
  <c r="L72" i="91"/>
  <c r="L73" i="91"/>
  <c r="J7" i="91"/>
  <c r="J8" i="91"/>
  <c r="J9" i="91"/>
  <c r="J10" i="91"/>
  <c r="J11" i="91"/>
  <c r="J12" i="91"/>
  <c r="J13" i="91"/>
  <c r="J14" i="91"/>
  <c r="J15" i="91"/>
  <c r="J17" i="91"/>
  <c r="J18" i="91"/>
  <c r="J19" i="91"/>
  <c r="J20" i="91"/>
  <c r="J21" i="91"/>
  <c r="J22" i="91"/>
  <c r="J23" i="91"/>
  <c r="J24" i="91"/>
  <c r="J25" i="91"/>
  <c r="J27" i="91"/>
  <c r="J28" i="91"/>
  <c r="J29" i="91"/>
  <c r="J30" i="91"/>
  <c r="J31" i="91"/>
  <c r="J32" i="91"/>
  <c r="J33" i="91"/>
  <c r="J35" i="91"/>
  <c r="J36" i="91"/>
  <c r="J37" i="91"/>
  <c r="J38" i="91"/>
  <c r="J39" i="91"/>
  <c r="J40" i="91"/>
  <c r="J41" i="91"/>
  <c r="J50" i="91"/>
  <c r="J51" i="91"/>
  <c r="J52" i="91"/>
  <c r="J53" i="91"/>
  <c r="J54" i="91"/>
  <c r="J55" i="91"/>
  <c r="J56" i="91"/>
  <c r="J58" i="91"/>
  <c r="J59" i="91"/>
  <c r="J60" i="91"/>
  <c r="J61" i="91"/>
  <c r="J62" i="91"/>
  <c r="J63" i="91"/>
  <c r="J64" i="91"/>
  <c r="J65" i="91"/>
  <c r="J66" i="91"/>
  <c r="J67" i="91"/>
  <c r="J68" i="91"/>
  <c r="J69" i="91"/>
  <c r="J70" i="91"/>
  <c r="J71" i="91"/>
  <c r="J72" i="91"/>
  <c r="J73" i="91"/>
  <c r="J57" i="91"/>
  <c r="I60" i="91"/>
  <c r="I14" i="91"/>
  <c r="I17" i="91"/>
  <c r="I18" i="91"/>
  <c r="I19" i="91"/>
  <c r="I20" i="91"/>
  <c r="I21" i="91"/>
  <c r="I22" i="91"/>
  <c r="I23" i="91"/>
  <c r="I24" i="91"/>
  <c r="I25" i="91"/>
  <c r="I16" i="91"/>
  <c r="I27" i="91"/>
  <c r="I28" i="91"/>
  <c r="I29" i="91"/>
  <c r="I30" i="91"/>
  <c r="I31" i="91"/>
  <c r="I32" i="91"/>
  <c r="I33" i="91"/>
  <c r="I26" i="91"/>
  <c r="I35" i="91"/>
  <c r="I36" i="91"/>
  <c r="I37" i="91"/>
  <c r="I38" i="91"/>
  <c r="I39" i="91"/>
  <c r="I40" i="91"/>
  <c r="I41" i="91"/>
  <c r="I34" i="91"/>
  <c r="I50" i="91"/>
  <c r="I51" i="91"/>
  <c r="I52" i="91"/>
  <c r="I53" i="91"/>
  <c r="I54" i="91"/>
  <c r="I55" i="91"/>
  <c r="I56" i="91"/>
  <c r="I49" i="91"/>
  <c r="G7" i="91"/>
  <c r="G8" i="91"/>
  <c r="G9" i="91"/>
  <c r="G10" i="91"/>
  <c r="G11" i="91"/>
  <c r="G12" i="91"/>
  <c r="G13" i="91"/>
  <c r="G14" i="91"/>
  <c r="G15" i="91"/>
  <c r="G17" i="91"/>
  <c r="G18" i="91"/>
  <c r="G19" i="91"/>
  <c r="G20" i="91"/>
  <c r="G21" i="91"/>
  <c r="G22" i="91"/>
  <c r="G23" i="91"/>
  <c r="G24" i="91"/>
  <c r="G25" i="91"/>
  <c r="G27" i="91"/>
  <c r="G26" i="91" s="1"/>
  <c r="H26" i="91" s="1"/>
  <c r="G28" i="91"/>
  <c r="G29" i="91"/>
  <c r="G30" i="91"/>
  <c r="G31" i="91"/>
  <c r="G32" i="91"/>
  <c r="G33" i="91"/>
  <c r="G35" i="91"/>
  <c r="G34" i="91" s="1"/>
  <c r="H34" i="91" s="1"/>
  <c r="G36" i="91"/>
  <c r="G37" i="91"/>
  <c r="G38" i="91"/>
  <c r="G39" i="91"/>
  <c r="G40" i="91"/>
  <c r="G41" i="91"/>
  <c r="G50" i="91"/>
  <c r="G51" i="91"/>
  <c r="G52" i="91"/>
  <c r="G53" i="91"/>
  <c r="G54" i="91"/>
  <c r="G55" i="91"/>
  <c r="G56" i="91"/>
  <c r="G58" i="91"/>
  <c r="G59" i="91"/>
  <c r="G60" i="91"/>
  <c r="G61" i="91"/>
  <c r="G62" i="91"/>
  <c r="G63" i="91"/>
  <c r="G64" i="91"/>
  <c r="G65" i="91"/>
  <c r="G67" i="91"/>
  <c r="G68" i="91"/>
  <c r="G69" i="91"/>
  <c r="G70" i="91"/>
  <c r="G71" i="91"/>
  <c r="G72" i="91"/>
  <c r="G73" i="91"/>
  <c r="F12" i="91"/>
  <c r="F11" i="91"/>
  <c r="F10" i="91"/>
  <c r="F9" i="91"/>
  <c r="F8" i="91"/>
  <c r="F61" i="91"/>
  <c r="F58" i="91"/>
  <c r="F71" i="91"/>
  <c r="H71" i="91" s="1"/>
  <c r="F72" i="91"/>
  <c r="F56" i="91"/>
  <c r="F55" i="91"/>
  <c r="F53" i="91"/>
  <c r="F52" i="91"/>
  <c r="F51" i="91"/>
  <c r="F50" i="91"/>
  <c r="F41" i="91"/>
  <c r="F40" i="91"/>
  <c r="F39" i="91"/>
  <c r="F38" i="91"/>
  <c r="F37" i="91"/>
  <c r="F36" i="91"/>
  <c r="F35" i="91"/>
  <c r="F34" i="91" s="1"/>
  <c r="F33" i="91"/>
  <c r="F32" i="91"/>
  <c r="F31" i="91"/>
  <c r="F30" i="91"/>
  <c r="F29" i="91"/>
  <c r="F28" i="91"/>
  <c r="F27" i="91"/>
  <c r="F26" i="91" s="1"/>
  <c r="F25" i="91"/>
  <c r="F24" i="91"/>
  <c r="F23" i="91"/>
  <c r="F22" i="91"/>
  <c r="F21" i="91"/>
  <c r="F20" i="91"/>
  <c r="F19" i="91"/>
  <c r="F18" i="91"/>
  <c r="F17" i="91"/>
  <c r="D7" i="91"/>
  <c r="D8" i="91"/>
  <c r="D9" i="91"/>
  <c r="D10" i="91"/>
  <c r="D11" i="91"/>
  <c r="D12" i="91"/>
  <c r="D13" i="91"/>
  <c r="D14" i="91"/>
  <c r="D15" i="91"/>
  <c r="D17" i="91"/>
  <c r="D18" i="91"/>
  <c r="D19" i="91"/>
  <c r="D20" i="91"/>
  <c r="D21" i="91"/>
  <c r="D22" i="91"/>
  <c r="D23" i="91"/>
  <c r="D24" i="91"/>
  <c r="D25" i="91"/>
  <c r="D16" i="91"/>
  <c r="D27" i="91"/>
  <c r="D28" i="91"/>
  <c r="D29" i="91"/>
  <c r="D30" i="91"/>
  <c r="D31" i="91"/>
  <c r="D32" i="91"/>
  <c r="D33" i="91"/>
  <c r="D26" i="91"/>
  <c r="D35" i="91"/>
  <c r="D36" i="91"/>
  <c r="D37" i="91"/>
  <c r="D38" i="91"/>
  <c r="D39" i="91"/>
  <c r="D40" i="91"/>
  <c r="D41" i="91"/>
  <c r="D34" i="91"/>
  <c r="D50" i="91"/>
  <c r="D51" i="91"/>
  <c r="D52" i="91"/>
  <c r="D53" i="91"/>
  <c r="D54" i="91"/>
  <c r="D55" i="91"/>
  <c r="D56" i="91"/>
  <c r="D49" i="91"/>
  <c r="D58" i="91"/>
  <c r="D59" i="91"/>
  <c r="D60" i="91"/>
  <c r="D61" i="91"/>
  <c r="D63" i="91"/>
  <c r="D64" i="91"/>
  <c r="D65" i="91"/>
  <c r="D66" i="91"/>
  <c r="D67" i="91"/>
  <c r="D68" i="91"/>
  <c r="D69" i="91"/>
  <c r="D70" i="91"/>
  <c r="D71" i="91"/>
  <c r="D72" i="91"/>
  <c r="D73" i="91"/>
  <c r="D57" i="91"/>
  <c r="C60" i="91"/>
  <c r="C59" i="91"/>
  <c r="C58" i="91"/>
  <c r="C73" i="91"/>
  <c r="C7" i="91"/>
  <c r="C8" i="91"/>
  <c r="C9" i="91"/>
  <c r="C10" i="91"/>
  <c r="C11" i="91"/>
  <c r="C14" i="91"/>
  <c r="C17" i="91"/>
  <c r="C18" i="91"/>
  <c r="C20" i="91"/>
  <c r="C21" i="91"/>
  <c r="C22" i="91"/>
  <c r="C23" i="91"/>
  <c r="C24" i="91"/>
  <c r="C25" i="91"/>
  <c r="C27" i="91"/>
  <c r="C28" i="91"/>
  <c r="C29" i="91"/>
  <c r="C30" i="91"/>
  <c r="C32" i="91"/>
  <c r="C33" i="91"/>
  <c r="C35" i="91"/>
  <c r="C36" i="91"/>
  <c r="C37" i="91"/>
  <c r="C38" i="91"/>
  <c r="C39" i="91"/>
  <c r="C40" i="91"/>
  <c r="C41" i="91"/>
  <c r="C50" i="91"/>
  <c r="C51" i="91"/>
  <c r="C52" i="91"/>
  <c r="C53" i="91"/>
  <c r="C55" i="91"/>
  <c r="C56" i="91"/>
  <c r="U48" i="91"/>
  <c r="U15" i="91"/>
  <c r="U14" i="91"/>
  <c r="U13" i="91"/>
  <c r="R73" i="91"/>
  <c r="R72" i="91"/>
  <c r="R71" i="91"/>
  <c r="R70" i="91"/>
  <c r="R69" i="91"/>
  <c r="R68" i="91"/>
  <c r="R67" i="91"/>
  <c r="R66" i="91"/>
  <c r="R65" i="91"/>
  <c r="R64" i="91"/>
  <c r="R63" i="91"/>
  <c r="R62" i="91"/>
  <c r="R61" i="91"/>
  <c r="R60" i="91"/>
  <c r="R59" i="91"/>
  <c r="R58" i="91"/>
  <c r="R15" i="91"/>
  <c r="R14" i="91"/>
  <c r="R13" i="91"/>
  <c r="R12" i="91"/>
  <c r="R11" i="91"/>
  <c r="R10" i="91"/>
  <c r="R9" i="91"/>
  <c r="R8" i="91"/>
  <c r="O48" i="91"/>
  <c r="O15" i="91"/>
  <c r="N15" i="91"/>
  <c r="K33" i="91"/>
  <c r="H72" i="91"/>
  <c r="H61" i="91"/>
  <c r="I48" i="91"/>
  <c r="F15" i="91"/>
  <c r="F14" i="91"/>
  <c r="F13" i="91"/>
  <c r="V15" i="86"/>
  <c r="V14" i="86"/>
  <c r="V13" i="86"/>
  <c r="V12" i="86"/>
  <c r="V11" i="86"/>
  <c r="V10" i="86"/>
  <c r="V9" i="86"/>
  <c r="V8" i="86"/>
  <c r="V6" i="86" s="1"/>
  <c r="V7" i="86"/>
  <c r="V25" i="86"/>
  <c r="V20" i="86"/>
  <c r="V19" i="86"/>
  <c r="V16" i="86" s="1"/>
  <c r="V18" i="86"/>
  <c r="V17" i="86"/>
  <c r="V56" i="86"/>
  <c r="V55" i="86"/>
  <c r="V54" i="86"/>
  <c r="V53" i="86"/>
  <c r="V52" i="86"/>
  <c r="V51" i="86"/>
  <c r="V49" i="86" s="1"/>
  <c r="V50" i="86"/>
  <c r="P15" i="86"/>
  <c r="P14" i="86"/>
  <c r="P13" i="86"/>
  <c r="P12" i="86"/>
  <c r="P10" i="86"/>
  <c r="P9" i="86"/>
  <c r="P8" i="86"/>
  <c r="P6" i="86" s="1"/>
  <c r="P7" i="86"/>
  <c r="P25" i="86"/>
  <c r="P24" i="86"/>
  <c r="P23" i="86"/>
  <c r="P22" i="86"/>
  <c r="P21" i="86"/>
  <c r="P20" i="86"/>
  <c r="P19" i="86"/>
  <c r="P16" i="86" s="1"/>
  <c r="P18" i="86"/>
  <c r="P17" i="86"/>
  <c r="P73" i="86"/>
  <c r="P72" i="86"/>
  <c r="P71" i="86"/>
  <c r="P70" i="86"/>
  <c r="P69" i="86"/>
  <c r="P68" i="86"/>
  <c r="P67" i="86"/>
  <c r="P66" i="86"/>
  <c r="P65" i="86"/>
  <c r="P64" i="86"/>
  <c r="P63" i="86"/>
  <c r="P62" i="86"/>
  <c r="P61" i="86"/>
  <c r="P60" i="86"/>
  <c r="P57" i="86" s="1"/>
  <c r="P59" i="86"/>
  <c r="P58" i="86"/>
  <c r="M72" i="86"/>
  <c r="M71" i="86"/>
  <c r="M70" i="86"/>
  <c r="M69" i="86"/>
  <c r="M68" i="86"/>
  <c r="M67" i="86"/>
  <c r="M65" i="86"/>
  <c r="M64" i="86"/>
  <c r="M63" i="86"/>
  <c r="M62" i="86"/>
  <c r="M57" i="86" s="1"/>
  <c r="M60" i="86"/>
  <c r="M59" i="86"/>
  <c r="M58" i="86"/>
  <c r="M25" i="86"/>
  <c r="M24" i="86"/>
  <c r="M23" i="86"/>
  <c r="M22" i="86"/>
  <c r="M21" i="86"/>
  <c r="M20" i="86"/>
  <c r="M19" i="86"/>
  <c r="M18" i="86"/>
  <c r="M17" i="86"/>
  <c r="M16" i="86" s="1"/>
  <c r="M15" i="86"/>
  <c r="M14" i="86"/>
  <c r="M13" i="86"/>
  <c r="M12" i="86"/>
  <c r="M11" i="86"/>
  <c r="M10" i="86"/>
  <c r="M9" i="86"/>
  <c r="M8" i="86"/>
  <c r="M6" i="86" s="1"/>
  <c r="M7" i="86"/>
  <c r="J25" i="86"/>
  <c r="J24" i="86"/>
  <c r="J23" i="86"/>
  <c r="J22" i="86"/>
  <c r="J21" i="86"/>
  <c r="J20" i="86"/>
  <c r="J19" i="86"/>
  <c r="J16" i="86" s="1"/>
  <c r="J18" i="86"/>
  <c r="J17" i="86"/>
  <c r="J15" i="86"/>
  <c r="J14" i="86"/>
  <c r="J13" i="86"/>
  <c r="J12" i="86"/>
  <c r="J11" i="86"/>
  <c r="J10" i="86"/>
  <c r="J6" i="86" s="1"/>
  <c r="J9" i="86"/>
  <c r="J8" i="86"/>
  <c r="J7" i="86"/>
  <c r="G73" i="86"/>
  <c r="G72" i="86"/>
  <c r="G71" i="86"/>
  <c r="G70" i="86"/>
  <c r="G69" i="86"/>
  <c r="G68" i="86"/>
  <c r="G67" i="86"/>
  <c r="G66" i="86"/>
  <c r="G65" i="86"/>
  <c r="G64" i="86"/>
  <c r="G63" i="86"/>
  <c r="G62" i="86"/>
  <c r="G61" i="86"/>
  <c r="G57" i="86" s="1"/>
  <c r="G60" i="86"/>
  <c r="G59" i="86"/>
  <c r="G58" i="86"/>
  <c r="G15" i="86"/>
  <c r="G14" i="86"/>
  <c r="G13" i="86"/>
  <c r="G12" i="86"/>
  <c r="G11" i="86"/>
  <c r="G10" i="86"/>
  <c r="G9" i="86"/>
  <c r="G8" i="86"/>
  <c r="G7" i="86"/>
  <c r="G6" i="86" s="1"/>
  <c r="D25" i="86"/>
  <c r="D24" i="86"/>
  <c r="D23" i="86"/>
  <c r="D22" i="86"/>
  <c r="D21" i="86"/>
  <c r="D20" i="86"/>
  <c r="D19" i="86"/>
  <c r="D18" i="86"/>
  <c r="D16" i="86" s="1"/>
  <c r="D17" i="86"/>
  <c r="D15" i="86"/>
  <c r="D14" i="86"/>
  <c r="D13" i="86"/>
  <c r="D12" i="86"/>
  <c r="D11" i="86"/>
  <c r="D10" i="86"/>
  <c r="D9" i="86"/>
  <c r="D6" i="86" s="1"/>
  <c r="D8" i="86"/>
  <c r="D7" i="86"/>
  <c r="AQ42" i="86"/>
  <c r="AP44" i="86"/>
  <c r="AP42" i="86" s="1"/>
  <c r="AO48" i="86"/>
  <c r="AO42" i="86" s="1"/>
  <c r="AN42" i="86"/>
  <c r="AL42" i="86"/>
  <c r="AK42" i="86"/>
  <c r="AJ42" i="86"/>
  <c r="AI42" i="86"/>
  <c r="AH42" i="86"/>
  <c r="AG42" i="86"/>
  <c r="AF42" i="86"/>
  <c r="AE42" i="86"/>
  <c r="AD42" i="86"/>
  <c r="AC42" i="86"/>
  <c r="AB42" i="86"/>
  <c r="AA42" i="86"/>
  <c r="Z42" i="86"/>
  <c r="Y42" i="86"/>
  <c r="X42" i="86"/>
  <c r="AQ34" i="86"/>
  <c r="AQ57" i="86"/>
  <c r="AQ16" i="86"/>
  <c r="AQ6" i="86"/>
  <c r="AQ26" i="86"/>
  <c r="AQ74" i="86" s="1"/>
  <c r="AQ49" i="86"/>
  <c r="AP6" i="86"/>
  <c r="AP16" i="86"/>
  <c r="AP26" i="86"/>
  <c r="AP34" i="86"/>
  <c r="AP49" i="86"/>
  <c r="AP57" i="86"/>
  <c r="AO17" i="86"/>
  <c r="AO18" i="86"/>
  <c r="AO20" i="86"/>
  <c r="AO22" i="86"/>
  <c r="AO23" i="86"/>
  <c r="AO24" i="86"/>
  <c r="AO25" i="86"/>
  <c r="AO27" i="86"/>
  <c r="AO30" i="86"/>
  <c r="AO32" i="86"/>
  <c r="AO26" i="86" s="1"/>
  <c r="AO33" i="86"/>
  <c r="AO35" i="86"/>
  <c r="AO36" i="86"/>
  <c r="AO37" i="86"/>
  <c r="AO40" i="86"/>
  <c r="AO41" i="86"/>
  <c r="AO34" i="86"/>
  <c r="AO51" i="86"/>
  <c r="AO52" i="86"/>
  <c r="AO53" i="86"/>
  <c r="AO55" i="86"/>
  <c r="AO49" i="86" s="1"/>
  <c r="AO56" i="86"/>
  <c r="AO57" i="86"/>
  <c r="AN16" i="86"/>
  <c r="AN26" i="86"/>
  <c r="AN34" i="86"/>
  <c r="AN49" i="86"/>
  <c r="AN6" i="86"/>
  <c r="AN74" i="86" s="1"/>
  <c r="AN57" i="86"/>
  <c r="AK6" i="86"/>
  <c r="AJ6" i="86"/>
  <c r="AL16" i="86"/>
  <c r="AL26" i="86"/>
  <c r="AL34" i="86"/>
  <c r="AL49" i="86"/>
  <c r="AL59" i="86"/>
  <c r="AL60" i="86"/>
  <c r="AL57" i="86" s="1"/>
  <c r="AL61" i="86"/>
  <c r="AL70" i="86"/>
  <c r="AK57" i="86"/>
  <c r="AK49" i="86"/>
  <c r="AK34" i="86"/>
  <c r="AK26" i="86"/>
  <c r="AK16" i="86"/>
  <c r="AJ16" i="86"/>
  <c r="AJ26" i="86"/>
  <c r="AJ34" i="86"/>
  <c r="AJ49" i="86"/>
  <c r="AJ57" i="86"/>
  <c r="AJ74" i="86"/>
  <c r="AH6" i="86"/>
  <c r="AI6" i="86" s="1"/>
  <c r="AI74" i="86" s="1"/>
  <c r="AG6" i="86"/>
  <c r="AI16" i="86"/>
  <c r="AI26" i="86"/>
  <c r="AI34" i="86"/>
  <c r="AI49" i="86"/>
  <c r="AI59" i="86"/>
  <c r="AI57" i="86" s="1"/>
  <c r="AI60" i="86"/>
  <c r="AI61" i="86"/>
  <c r="AH16" i="86"/>
  <c r="AH26" i="86"/>
  <c r="AH34" i="86"/>
  <c r="AH49" i="86"/>
  <c r="AH74" i="86" s="1"/>
  <c r="AH57" i="86"/>
  <c r="AG16" i="86"/>
  <c r="AG26" i="86"/>
  <c r="AG34" i="86"/>
  <c r="AG49" i="86"/>
  <c r="AG59" i="86"/>
  <c r="AG60" i="86"/>
  <c r="AG57" i="86" s="1"/>
  <c r="AG61" i="86"/>
  <c r="AF16" i="86"/>
  <c r="AF26" i="86"/>
  <c r="AF34" i="86"/>
  <c r="AF49" i="86"/>
  <c r="AF60" i="86"/>
  <c r="AF57" i="86" s="1"/>
  <c r="AE6" i="86"/>
  <c r="AE16" i="86"/>
  <c r="AE26" i="86"/>
  <c r="AE34" i="86"/>
  <c r="AE49" i="86"/>
  <c r="AE57" i="86"/>
  <c r="AD6" i="86"/>
  <c r="AD16" i="86"/>
  <c r="AD26" i="86"/>
  <c r="AD34" i="86"/>
  <c r="AD49" i="86"/>
  <c r="AD57" i="86"/>
  <c r="AD74" i="86"/>
  <c r="AC6" i="86"/>
  <c r="AC74" i="86" s="1"/>
  <c r="AC16" i="86"/>
  <c r="AC26" i="86"/>
  <c r="AC34" i="86"/>
  <c r="AC49" i="86"/>
  <c r="AC57" i="86"/>
  <c r="AB57" i="86"/>
  <c r="AB16" i="86"/>
  <c r="AB26" i="86"/>
  <c r="AB34" i="86"/>
  <c r="AB49" i="86"/>
  <c r="AA8" i="86"/>
  <c r="AA6" i="86"/>
  <c r="AA16" i="86"/>
  <c r="AA26" i="86"/>
  <c r="AA34" i="86"/>
  <c r="AA49" i="86"/>
  <c r="AA57" i="86"/>
  <c r="Z6" i="86"/>
  <c r="Z16" i="86"/>
  <c r="Z26" i="86"/>
  <c r="Z34" i="86"/>
  <c r="Z49" i="86"/>
  <c r="Z73" i="86"/>
  <c r="Z57" i="86" s="1"/>
  <c r="Y6" i="86"/>
  <c r="Y16" i="86"/>
  <c r="Y26" i="86"/>
  <c r="Y34" i="86"/>
  <c r="Y49" i="86"/>
  <c r="Y57" i="86"/>
  <c r="X6" i="86"/>
  <c r="X16" i="86"/>
  <c r="X26" i="86"/>
  <c r="X34" i="86"/>
  <c r="X49" i="86"/>
  <c r="X57" i="86"/>
  <c r="X74" i="86"/>
  <c r="V26" i="86"/>
  <c r="U26" i="86"/>
  <c r="U49" i="86"/>
  <c r="U6" i="86"/>
  <c r="U16" i="86"/>
  <c r="R16" i="86"/>
  <c r="R6" i="86"/>
  <c r="O16" i="86"/>
  <c r="O6" i="86"/>
  <c r="L57" i="86"/>
  <c r="L6" i="86"/>
  <c r="L16" i="86"/>
  <c r="I16" i="86"/>
  <c r="C6" i="86"/>
  <c r="C16" i="86"/>
  <c r="U73" i="28"/>
  <c r="AD48" i="28"/>
  <c r="U48" i="28" s="1"/>
  <c r="U44" i="28"/>
  <c r="U35" i="28"/>
  <c r="U31" i="28"/>
  <c r="AD20" i="28"/>
  <c r="U20" i="28"/>
  <c r="AD15" i="28"/>
  <c r="U15" i="28"/>
  <c r="AD14" i="28"/>
  <c r="U14" i="28"/>
  <c r="AD13" i="28"/>
  <c r="U13" i="28"/>
  <c r="O72" i="28"/>
  <c r="O71" i="28"/>
  <c r="O70" i="28"/>
  <c r="O69" i="28"/>
  <c r="O68" i="28"/>
  <c r="O67" i="28"/>
  <c r="O66" i="28"/>
  <c r="O64" i="28"/>
  <c r="O63" i="28"/>
  <c r="O62" i="28"/>
  <c r="O61" i="28"/>
  <c r="O60" i="28"/>
  <c r="O59" i="28"/>
  <c r="O58" i="28"/>
  <c r="O56" i="28"/>
  <c r="O55" i="28"/>
  <c r="O54" i="28"/>
  <c r="O53" i="28"/>
  <c r="O49" i="28" s="1"/>
  <c r="O52" i="28"/>
  <c r="O51" i="28"/>
  <c r="O50" i="28"/>
  <c r="O47" i="28"/>
  <c r="O46" i="28"/>
  <c r="O45" i="28"/>
  <c r="O44" i="28"/>
  <c r="O43" i="28"/>
  <c r="O41" i="28"/>
  <c r="O40" i="28"/>
  <c r="O39" i="28"/>
  <c r="O38" i="28"/>
  <c r="O37" i="28"/>
  <c r="O36" i="28"/>
  <c r="O35" i="28"/>
  <c r="O33" i="28"/>
  <c r="O32" i="28"/>
  <c r="O31" i="28"/>
  <c r="O30" i="28"/>
  <c r="O26" i="28" s="1"/>
  <c r="O29" i="28"/>
  <c r="O28" i="28"/>
  <c r="O27" i="28"/>
  <c r="O25" i="28"/>
  <c r="Q25" i="28" s="1"/>
  <c r="O24" i="28"/>
  <c r="O23" i="28"/>
  <c r="O22" i="28"/>
  <c r="O21" i="28"/>
  <c r="O20" i="28"/>
  <c r="O19" i="28"/>
  <c r="O18" i="28"/>
  <c r="O17" i="28"/>
  <c r="O16" i="28" s="1"/>
  <c r="O14" i="28"/>
  <c r="O13" i="28"/>
  <c r="O10" i="28"/>
  <c r="O9" i="28"/>
  <c r="L73" i="28"/>
  <c r="L72" i="28"/>
  <c r="L71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6" i="28"/>
  <c r="L55" i="28"/>
  <c r="L54" i="28"/>
  <c r="L53" i="28"/>
  <c r="L52" i="28"/>
  <c r="L51" i="28"/>
  <c r="L50" i="28"/>
  <c r="L47" i="28"/>
  <c r="L46" i="28"/>
  <c r="L45" i="28"/>
  <c r="L44" i="28"/>
  <c r="L43" i="28"/>
  <c r="L41" i="28"/>
  <c r="L40" i="28"/>
  <c r="L39" i="28"/>
  <c r="L38" i="28"/>
  <c r="L37" i="28"/>
  <c r="L36" i="28"/>
  <c r="L35" i="28"/>
  <c r="L33" i="28"/>
  <c r="L32" i="28"/>
  <c r="L31" i="28"/>
  <c r="L30" i="28"/>
  <c r="L29" i="28"/>
  <c r="L28" i="28"/>
  <c r="L27" i="28"/>
  <c r="L25" i="28"/>
  <c r="L24" i="28"/>
  <c r="L23" i="28"/>
  <c r="L22" i="28"/>
  <c r="L21" i="28"/>
  <c r="L20" i="28"/>
  <c r="L19" i="28"/>
  <c r="L18" i="28"/>
  <c r="L17" i="28"/>
  <c r="L15" i="28"/>
  <c r="L14" i="28"/>
  <c r="L13" i="28"/>
  <c r="L12" i="28"/>
  <c r="L11" i="28"/>
  <c r="L10" i="28"/>
  <c r="L9" i="28"/>
  <c r="L8" i="28"/>
  <c r="L7" i="28"/>
  <c r="I60" i="28"/>
  <c r="I56" i="28"/>
  <c r="I55" i="28"/>
  <c r="I54" i="28"/>
  <c r="I53" i="28"/>
  <c r="I52" i="28"/>
  <c r="I51" i="28"/>
  <c r="I50" i="28"/>
  <c r="I48" i="28"/>
  <c r="I47" i="28"/>
  <c r="I46" i="28"/>
  <c r="I45" i="28"/>
  <c r="I44" i="28"/>
  <c r="I43" i="28"/>
  <c r="I41" i="28"/>
  <c r="I40" i="28"/>
  <c r="I39" i="28"/>
  <c r="I38" i="28"/>
  <c r="I37" i="28"/>
  <c r="I36" i="28"/>
  <c r="I35" i="28"/>
  <c r="I33" i="28"/>
  <c r="I32" i="28"/>
  <c r="I31" i="28"/>
  <c r="I30" i="28"/>
  <c r="I29" i="28"/>
  <c r="I28" i="28"/>
  <c r="I27" i="28"/>
  <c r="I25" i="28"/>
  <c r="I24" i="28"/>
  <c r="I23" i="28"/>
  <c r="I22" i="28"/>
  <c r="I21" i="28"/>
  <c r="I20" i="28"/>
  <c r="I16" i="28" s="1"/>
  <c r="I19" i="28"/>
  <c r="I18" i="28"/>
  <c r="I17" i="28"/>
  <c r="I14" i="28"/>
  <c r="F72" i="28"/>
  <c r="F71" i="28"/>
  <c r="F61" i="28"/>
  <c r="F58" i="28"/>
  <c r="F56" i="28"/>
  <c r="F55" i="28"/>
  <c r="F53" i="28"/>
  <c r="F52" i="28"/>
  <c r="F51" i="28"/>
  <c r="F50" i="28"/>
  <c r="F46" i="28"/>
  <c r="F45" i="28"/>
  <c r="F44" i="28"/>
  <c r="F43" i="28"/>
  <c r="F41" i="28"/>
  <c r="F40" i="28"/>
  <c r="F39" i="28"/>
  <c r="F38" i="28"/>
  <c r="F37" i="28"/>
  <c r="F36" i="28"/>
  <c r="F35" i="28"/>
  <c r="F33" i="28"/>
  <c r="F32" i="28"/>
  <c r="F31" i="28"/>
  <c r="F30" i="28"/>
  <c r="F29" i="28"/>
  <c r="F28" i="28"/>
  <c r="F27" i="28"/>
  <c r="F25" i="28"/>
  <c r="F24" i="28"/>
  <c r="F23" i="28"/>
  <c r="F22" i="28"/>
  <c r="F21" i="28"/>
  <c r="F20" i="28"/>
  <c r="F19" i="28"/>
  <c r="F18" i="28"/>
  <c r="F17" i="28"/>
  <c r="F12" i="28"/>
  <c r="F11" i="28"/>
  <c r="F10" i="28"/>
  <c r="F9" i="28"/>
  <c r="F8" i="28"/>
  <c r="D73" i="28"/>
  <c r="E73" i="28" s="1"/>
  <c r="C73" i="28"/>
  <c r="C60" i="28"/>
  <c r="C59" i="28"/>
  <c r="C58" i="28"/>
  <c r="C56" i="28"/>
  <c r="C55" i="28"/>
  <c r="C53" i="28"/>
  <c r="C52" i="28"/>
  <c r="C51" i="28"/>
  <c r="C50" i="28"/>
  <c r="C45" i="28"/>
  <c r="C44" i="28"/>
  <c r="C43" i="28"/>
  <c r="C41" i="28"/>
  <c r="C40" i="28"/>
  <c r="C39" i="28"/>
  <c r="C38" i="28"/>
  <c r="C37" i="28"/>
  <c r="C36" i="28"/>
  <c r="C35" i="28"/>
  <c r="C33" i="28"/>
  <c r="C32" i="28"/>
  <c r="C30" i="28"/>
  <c r="C29" i="28"/>
  <c r="C28" i="28"/>
  <c r="C27" i="28"/>
  <c r="C25" i="28"/>
  <c r="C24" i="28"/>
  <c r="C23" i="28"/>
  <c r="C22" i="28"/>
  <c r="C21" i="28"/>
  <c r="C20" i="28"/>
  <c r="C18" i="28"/>
  <c r="C17" i="28"/>
  <c r="C14" i="28"/>
  <c r="C11" i="28"/>
  <c r="C10" i="28"/>
  <c r="C9" i="28"/>
  <c r="C8" i="28"/>
  <c r="C7" i="28"/>
  <c r="W49" i="91"/>
  <c r="R57" i="91"/>
  <c r="V14" i="7"/>
  <c r="V13" i="7"/>
  <c r="V12" i="7"/>
  <c r="V11" i="7"/>
  <c r="V10" i="7"/>
  <c r="V15" i="60"/>
  <c r="V14" i="60"/>
  <c r="V13" i="60"/>
  <c r="V12" i="60"/>
  <c r="V11" i="60"/>
  <c r="V10" i="60"/>
  <c r="V12" i="69"/>
  <c r="V13" i="69"/>
  <c r="V14" i="69"/>
  <c r="V15" i="69"/>
  <c r="V11" i="69"/>
  <c r="V10" i="69"/>
  <c r="V15" i="5"/>
  <c r="V14" i="5"/>
  <c r="V13" i="5"/>
  <c r="V12" i="5"/>
  <c r="V11" i="5"/>
  <c r="V10" i="5"/>
  <c r="V15" i="76"/>
  <c r="V14" i="76"/>
  <c r="V13" i="76"/>
  <c r="V12" i="76"/>
  <c r="V11" i="76"/>
  <c r="V10" i="76"/>
  <c r="V15" i="67"/>
  <c r="V15" i="30" s="1"/>
  <c r="V14" i="67"/>
  <c r="V13" i="67"/>
  <c r="V12" i="67"/>
  <c r="V11" i="67"/>
  <c r="V10" i="67"/>
  <c r="V15" i="46"/>
  <c r="V14" i="46"/>
  <c r="V13" i="46"/>
  <c r="V12" i="46"/>
  <c r="V11" i="46"/>
  <c r="V10" i="46"/>
  <c r="V15" i="44"/>
  <c r="V14" i="44"/>
  <c r="V13" i="44"/>
  <c r="V12" i="44"/>
  <c r="V11" i="44"/>
  <c r="V10" i="44"/>
  <c r="V15" i="74"/>
  <c r="V14" i="74"/>
  <c r="V13" i="74"/>
  <c r="V12" i="74"/>
  <c r="V11" i="74"/>
  <c r="V10" i="74"/>
  <c r="V15" i="3"/>
  <c r="V14" i="3"/>
  <c r="V13" i="3"/>
  <c r="V12" i="3"/>
  <c r="V11" i="3"/>
  <c r="V10" i="3"/>
  <c r="V9" i="66"/>
  <c r="V15" i="66"/>
  <c r="V14" i="66"/>
  <c r="V13" i="66"/>
  <c r="V12" i="66"/>
  <c r="V11" i="66"/>
  <c r="V10" i="66"/>
  <c r="V15" i="62"/>
  <c r="V14" i="62"/>
  <c r="V13" i="62"/>
  <c r="V12" i="62"/>
  <c r="V11" i="62"/>
  <c r="V10" i="62"/>
  <c r="V15" i="68"/>
  <c r="V14" i="68"/>
  <c r="V13" i="68"/>
  <c r="V12" i="68"/>
  <c r="V11" i="68"/>
  <c r="V10" i="68"/>
  <c r="V10" i="30" s="1"/>
  <c r="V15" i="2"/>
  <c r="V14" i="2"/>
  <c r="V13" i="2"/>
  <c r="V12" i="2"/>
  <c r="V11" i="2"/>
  <c r="V10" i="2"/>
  <c r="V9" i="2"/>
  <c r="V8" i="2"/>
  <c r="V8" i="30" s="1"/>
  <c r="V7" i="2"/>
  <c r="V6" i="2"/>
  <c r="V5" i="2"/>
  <c r="V4" i="2"/>
  <c r="V4" i="30" s="1"/>
  <c r="I26" i="28"/>
  <c r="I34" i="28"/>
  <c r="I42" i="28"/>
  <c r="I49" i="28"/>
  <c r="N14" i="30"/>
  <c r="J14" i="30"/>
  <c r="J10" i="30"/>
  <c r="Z15" i="103"/>
  <c r="Z14" i="103"/>
  <c r="Z14" i="30" s="1"/>
  <c r="Z13" i="103"/>
  <c r="Z12" i="103"/>
  <c r="Z12" i="30" s="1"/>
  <c r="Z11" i="103"/>
  <c r="Z10" i="103"/>
  <c r="Z10" i="30" s="1"/>
  <c r="Z9" i="103"/>
  <c r="Z8" i="103"/>
  <c r="Z8" i="30" s="1"/>
  <c r="Z7" i="103"/>
  <c r="Z15" i="30"/>
  <c r="Z13" i="30"/>
  <c r="Z11" i="30"/>
  <c r="Z9" i="30"/>
  <c r="Z7" i="30"/>
  <c r="Z6" i="30"/>
  <c r="Z5" i="30"/>
  <c r="Z4" i="30"/>
  <c r="Y17" i="88"/>
  <c r="Y18" i="88" s="1"/>
  <c r="Y19" i="88" s="1"/>
  <c r="Y20" i="88" s="1"/>
  <c r="Y21" i="88" s="1"/>
  <c r="Y22" i="88" s="1"/>
  <c r="Y23" i="88" s="1"/>
  <c r="Y24" i="88" s="1"/>
  <c r="Y25" i="88" s="1"/>
  <c r="Y26" i="88" s="1"/>
  <c r="Y27" i="88" s="1"/>
  <c r="X17" i="88"/>
  <c r="X18" i="88"/>
  <c r="X19" i="88" s="1"/>
  <c r="X20" i="88" s="1"/>
  <c r="X21" i="88" s="1"/>
  <c r="X22" i="88" s="1"/>
  <c r="X23" i="88" s="1"/>
  <c r="X24" i="88" s="1"/>
  <c r="X25" i="88" s="1"/>
  <c r="X26" i="88" s="1"/>
  <c r="X27" i="88" s="1"/>
  <c r="W17" i="88"/>
  <c r="W18" i="88" s="1"/>
  <c r="W19" i="88" s="1"/>
  <c r="W20" i="88" s="1"/>
  <c r="W21" i="88" s="1"/>
  <c r="W22" i="88" s="1"/>
  <c r="W23" i="88" s="1"/>
  <c r="W24" i="88" s="1"/>
  <c r="W25" i="88" s="1"/>
  <c r="W26" i="88" s="1"/>
  <c r="W27" i="88" s="1"/>
  <c r="V17" i="88"/>
  <c r="V18" i="88"/>
  <c r="V19" i="88" s="1"/>
  <c r="V20" i="88" s="1"/>
  <c r="V21" i="88" s="1"/>
  <c r="V22" i="88" s="1"/>
  <c r="V23" i="88" s="1"/>
  <c r="V24" i="88" s="1"/>
  <c r="V25" i="88" s="1"/>
  <c r="V26" i="88" s="1"/>
  <c r="V27" i="88" s="1"/>
  <c r="Y16" i="88"/>
  <c r="X16" i="88"/>
  <c r="W16" i="88"/>
  <c r="V16" i="88"/>
  <c r="U17" i="88"/>
  <c r="U18" i="88" s="1"/>
  <c r="U19" i="88" s="1"/>
  <c r="U20" i="88" s="1"/>
  <c r="U21" i="88" s="1"/>
  <c r="U22" i="88" s="1"/>
  <c r="U23" i="88" s="1"/>
  <c r="U24" i="88" s="1"/>
  <c r="U25" i="88" s="1"/>
  <c r="U26" i="88" s="1"/>
  <c r="U27" i="88" s="1"/>
  <c r="T17" i="88"/>
  <c r="T18" i="88"/>
  <c r="T19" i="88" s="1"/>
  <c r="T20" i="88" s="1"/>
  <c r="T21" i="88" s="1"/>
  <c r="T22" i="88" s="1"/>
  <c r="T23" i="88" s="1"/>
  <c r="T24" i="88" s="1"/>
  <c r="T25" i="88" s="1"/>
  <c r="T26" i="88" s="1"/>
  <c r="T27" i="88" s="1"/>
  <c r="S17" i="88"/>
  <c r="S18" i="88" s="1"/>
  <c r="S19" i="88"/>
  <c r="S20" i="88" s="1"/>
  <c r="S21" i="88" s="1"/>
  <c r="S22" i="88" s="1"/>
  <c r="S23" i="88" s="1"/>
  <c r="S24" i="88" s="1"/>
  <c r="S25" i="88" s="1"/>
  <c r="S26" i="88" s="1"/>
  <c r="S27" i="88" s="1"/>
  <c r="R17" i="88"/>
  <c r="R18" i="88"/>
  <c r="R19" i="88" s="1"/>
  <c r="R20" i="88" s="1"/>
  <c r="R21" i="88" s="1"/>
  <c r="R22" i="88" s="1"/>
  <c r="R23" i="88" s="1"/>
  <c r="R24" i="88" s="1"/>
  <c r="R25" i="88" s="1"/>
  <c r="R26" i="88" s="1"/>
  <c r="R27" i="88" s="1"/>
  <c r="U16" i="88"/>
  <c r="T16" i="88"/>
  <c r="S16" i="88"/>
  <c r="R16" i="88"/>
  <c r="V11" i="30"/>
  <c r="V9" i="30"/>
  <c r="V7" i="30"/>
  <c r="V6" i="30"/>
  <c r="V5" i="30"/>
  <c r="Q17" i="101"/>
  <c r="Q18" i="101" s="1"/>
  <c r="Q19" i="101" s="1"/>
  <c r="Q20" i="101" s="1"/>
  <c r="Q21" i="101" s="1"/>
  <c r="Q22" i="101" s="1"/>
  <c r="Q23" i="101" s="1"/>
  <c r="Q24" i="101" s="1"/>
  <c r="Q25" i="101" s="1"/>
  <c r="Q26" i="101" s="1"/>
  <c r="Q27" i="101" s="1"/>
  <c r="P17" i="101"/>
  <c r="P18" i="101"/>
  <c r="P19" i="101" s="1"/>
  <c r="P20" i="101" s="1"/>
  <c r="P21" i="101" s="1"/>
  <c r="P22" i="101" s="1"/>
  <c r="P23" i="101" s="1"/>
  <c r="P24" i="101" s="1"/>
  <c r="P25" i="101" s="1"/>
  <c r="P26" i="101" s="1"/>
  <c r="P27" i="101" s="1"/>
  <c r="O17" i="101"/>
  <c r="O18" i="101" s="1"/>
  <c r="O19" i="101" s="1"/>
  <c r="O20" i="101" s="1"/>
  <c r="O21" i="101" s="1"/>
  <c r="O22" i="101" s="1"/>
  <c r="O23" i="101" s="1"/>
  <c r="O24" i="101" s="1"/>
  <c r="O25" i="101" s="1"/>
  <c r="O26" i="101" s="1"/>
  <c r="O27" i="101" s="1"/>
  <c r="N17" i="101"/>
  <c r="N18" i="101"/>
  <c r="N19" i="101" s="1"/>
  <c r="N20" i="101" s="1"/>
  <c r="N21" i="101" s="1"/>
  <c r="N22" i="101" s="1"/>
  <c r="N23" i="101" s="1"/>
  <c r="N24" i="101" s="1"/>
  <c r="N25" i="101" s="1"/>
  <c r="N26" i="101" s="1"/>
  <c r="N27" i="101" s="1"/>
  <c r="Q16" i="101"/>
  <c r="P16" i="101"/>
  <c r="O16" i="101"/>
  <c r="N16" i="101"/>
  <c r="V16" i="12"/>
  <c r="J15" i="85"/>
  <c r="J15" i="30" s="1"/>
  <c r="J14" i="85"/>
  <c r="J13" i="85"/>
  <c r="J13" i="30" s="1"/>
  <c r="J12" i="85"/>
  <c r="J12" i="30" s="1"/>
  <c r="J11" i="85"/>
  <c r="J11" i="30" s="1"/>
  <c r="J10" i="85"/>
  <c r="J9" i="85"/>
  <c r="J8" i="85"/>
  <c r="J7" i="85"/>
  <c r="J6" i="85"/>
  <c r="J5" i="85"/>
  <c r="N15" i="85"/>
  <c r="N15" i="30" s="1"/>
  <c r="N14" i="85"/>
  <c r="N13" i="85"/>
  <c r="N13" i="30" s="1"/>
  <c r="N12" i="85"/>
  <c r="N12" i="30" s="1"/>
  <c r="N11" i="85"/>
  <c r="N11" i="30" s="1"/>
  <c r="R15" i="30"/>
  <c r="R14" i="30"/>
  <c r="R13" i="30"/>
  <c r="R12" i="30"/>
  <c r="R11" i="30"/>
  <c r="R10" i="30"/>
  <c r="R9" i="30"/>
  <c r="R8" i="30"/>
  <c r="R7" i="30"/>
  <c r="R6" i="30"/>
  <c r="R5" i="30"/>
  <c r="J4" i="85"/>
  <c r="Q17" i="89"/>
  <c r="Q18" i="89"/>
  <c r="Q19" i="89" s="1"/>
  <c r="Q20" i="89" s="1"/>
  <c r="Q21" i="89" s="1"/>
  <c r="Q22" i="89" s="1"/>
  <c r="Q23" i="89" s="1"/>
  <c r="Q24" i="89" s="1"/>
  <c r="Q25" i="89" s="1"/>
  <c r="Q26" i="89"/>
  <c r="Q27" i="89" s="1"/>
  <c r="P17" i="89"/>
  <c r="P18" i="89" s="1"/>
  <c r="P19" i="89" s="1"/>
  <c r="P20" i="89" s="1"/>
  <c r="P21" i="89" s="1"/>
  <c r="P22" i="89" s="1"/>
  <c r="P23" i="89"/>
  <c r="P24" i="89" s="1"/>
  <c r="P25" i="89" s="1"/>
  <c r="P26" i="89" s="1"/>
  <c r="P27" i="89" s="1"/>
  <c r="O17" i="89"/>
  <c r="O18" i="89"/>
  <c r="O19" i="89" s="1"/>
  <c r="O20" i="89" s="1"/>
  <c r="O21" i="89" s="1"/>
  <c r="O22" i="89" s="1"/>
  <c r="O23" i="89" s="1"/>
  <c r="O24" i="89" s="1"/>
  <c r="O25" i="89" s="1"/>
  <c r="O26" i="89" s="1"/>
  <c r="O27" i="89" s="1"/>
  <c r="N17" i="89"/>
  <c r="N18" i="89" s="1"/>
  <c r="N19" i="89" s="1"/>
  <c r="N20" i="89" s="1"/>
  <c r="N21" i="89" s="1"/>
  <c r="N22" i="89" s="1"/>
  <c r="N23" i="89" s="1"/>
  <c r="N24" i="89" s="1"/>
  <c r="N25" i="89" s="1"/>
  <c r="N26" i="89" s="1"/>
  <c r="N27" i="89" s="1"/>
  <c r="Q16" i="89"/>
  <c r="P16" i="89"/>
  <c r="O16" i="89"/>
  <c r="N16" i="89"/>
  <c r="Q17" i="22"/>
  <c r="Q18" i="22"/>
  <c r="Q19" i="22" s="1"/>
  <c r="Q20" i="22" s="1"/>
  <c r="Q21" i="22" s="1"/>
  <c r="Q22" i="22" s="1"/>
  <c r="Q23" i="22" s="1"/>
  <c r="Q24" i="22" s="1"/>
  <c r="Q25" i="22" s="1"/>
  <c r="Q26" i="22"/>
  <c r="Q27" i="22" s="1"/>
  <c r="P17" i="22"/>
  <c r="P18" i="22" s="1"/>
  <c r="P19" i="22" s="1"/>
  <c r="P20" i="22" s="1"/>
  <c r="P21" i="22" s="1"/>
  <c r="P22" i="22" s="1"/>
  <c r="P23" i="22"/>
  <c r="P24" i="22" s="1"/>
  <c r="P25" i="22" s="1"/>
  <c r="P26" i="22" s="1"/>
  <c r="P27" i="22" s="1"/>
  <c r="O17" i="22"/>
  <c r="O18" i="22"/>
  <c r="O19" i="22" s="1"/>
  <c r="O20" i="22" s="1"/>
  <c r="O21" i="22" s="1"/>
  <c r="O22" i="22" s="1"/>
  <c r="O23" i="22" s="1"/>
  <c r="O24" i="22" s="1"/>
  <c r="O25" i="22" s="1"/>
  <c r="O26" i="22" s="1"/>
  <c r="O27" i="22" s="1"/>
  <c r="N17" i="22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Q16" i="22"/>
  <c r="P16" i="22"/>
  <c r="O16" i="22"/>
  <c r="N16" i="22"/>
  <c r="K13" i="103"/>
  <c r="K11" i="103"/>
  <c r="K15" i="103"/>
  <c r="K14" i="103"/>
  <c r="K16" i="103" s="1"/>
  <c r="K12" i="103"/>
  <c r="K10" i="103"/>
  <c r="Q17" i="100"/>
  <c r="Q18" i="100"/>
  <c r="Q19" i="100" s="1"/>
  <c r="Q20" i="100" s="1"/>
  <c r="Q21" i="100" s="1"/>
  <c r="Q22" i="100" s="1"/>
  <c r="Q23" i="100" s="1"/>
  <c r="Q24" i="100" s="1"/>
  <c r="Q25" i="100" s="1"/>
  <c r="Q26" i="100" s="1"/>
  <c r="Q27" i="100" s="1"/>
  <c r="P17" i="100"/>
  <c r="P18" i="100"/>
  <c r="P19" i="100" s="1"/>
  <c r="P20" i="100" s="1"/>
  <c r="P21" i="100" s="1"/>
  <c r="P22" i="100" s="1"/>
  <c r="P23" i="100"/>
  <c r="P24" i="100" s="1"/>
  <c r="P25" i="100" s="1"/>
  <c r="P26" i="100" s="1"/>
  <c r="P27" i="100" s="1"/>
  <c r="O17" i="100"/>
  <c r="O18" i="100"/>
  <c r="O19" i="100" s="1"/>
  <c r="O20" i="100" s="1"/>
  <c r="O21" i="100" s="1"/>
  <c r="O22" i="100" s="1"/>
  <c r="O23" i="100" s="1"/>
  <c r="O24" i="100" s="1"/>
  <c r="O25" i="100" s="1"/>
  <c r="O26" i="100" s="1"/>
  <c r="O27" i="100"/>
  <c r="N17" i="100"/>
  <c r="N18" i="100" s="1"/>
  <c r="N19" i="100" s="1"/>
  <c r="N20" i="100" s="1"/>
  <c r="N21" i="100"/>
  <c r="N22" i="100" s="1"/>
  <c r="N23" i="100" s="1"/>
  <c r="N24" i="100" s="1"/>
  <c r="N25" i="100" s="1"/>
  <c r="N26" i="100" s="1"/>
  <c r="N27" i="100" s="1"/>
  <c r="Q16" i="100"/>
  <c r="P16" i="100"/>
  <c r="O16" i="100"/>
  <c r="N16" i="100"/>
  <c r="Q17" i="92"/>
  <c r="Q18" i="92" s="1"/>
  <c r="Q19" i="92" s="1"/>
  <c r="Q20" i="92" s="1"/>
  <c r="Q21" i="92" s="1"/>
  <c r="Q22" i="92" s="1"/>
  <c r="Q23" i="92" s="1"/>
  <c r="Q24" i="92" s="1"/>
  <c r="Q25" i="92" s="1"/>
  <c r="Q26" i="92" s="1"/>
  <c r="Q27" i="92" s="1"/>
  <c r="P17" i="92"/>
  <c r="P18" i="92" s="1"/>
  <c r="P19" i="92" s="1"/>
  <c r="P20" i="92" s="1"/>
  <c r="P21" i="92"/>
  <c r="P22" i="92" s="1"/>
  <c r="P23" i="92" s="1"/>
  <c r="P24" i="92" s="1"/>
  <c r="P25" i="92" s="1"/>
  <c r="P26" i="92" s="1"/>
  <c r="P27" i="92" s="1"/>
  <c r="O17" i="92"/>
  <c r="O18" i="92"/>
  <c r="O19" i="92"/>
  <c r="O20" i="92" s="1"/>
  <c r="O21" i="92" s="1"/>
  <c r="O22" i="92" s="1"/>
  <c r="O23" i="92" s="1"/>
  <c r="O24" i="92" s="1"/>
  <c r="O25" i="92" s="1"/>
  <c r="O26" i="92" s="1"/>
  <c r="O27" i="92" s="1"/>
  <c r="N17" i="92"/>
  <c r="N18" i="92" s="1"/>
  <c r="N19" i="92"/>
  <c r="N20" i="92" s="1"/>
  <c r="N21" i="92" s="1"/>
  <c r="N22" i="92" s="1"/>
  <c r="N23" i="92" s="1"/>
  <c r="N24" i="92"/>
  <c r="N25" i="92" s="1"/>
  <c r="N26" i="92" s="1"/>
  <c r="N27" i="92" s="1"/>
  <c r="Q16" i="92"/>
  <c r="P16" i="92"/>
  <c r="O16" i="92"/>
  <c r="N16" i="92"/>
  <c r="Q17" i="65"/>
  <c r="Q18" i="65"/>
  <c r="Q19" i="65" s="1"/>
  <c r="Q20" i="65" s="1"/>
  <c r="Q21" i="65" s="1"/>
  <c r="Q22" i="65" s="1"/>
  <c r="Q23" i="65" s="1"/>
  <c r="Q24" i="65" s="1"/>
  <c r="Q25" i="65" s="1"/>
  <c r="Q26" i="65" s="1"/>
  <c r="Q27" i="65" s="1"/>
  <c r="P17" i="65"/>
  <c r="P18" i="65"/>
  <c r="P19" i="65" s="1"/>
  <c r="P20" i="65" s="1"/>
  <c r="P21" i="65" s="1"/>
  <c r="P22" i="65" s="1"/>
  <c r="P23" i="65"/>
  <c r="P24" i="65" s="1"/>
  <c r="P25" i="65" s="1"/>
  <c r="P26" i="65" s="1"/>
  <c r="P27" i="65" s="1"/>
  <c r="O17" i="65"/>
  <c r="O18" i="65"/>
  <c r="O19" i="65" s="1"/>
  <c r="O20" i="65" s="1"/>
  <c r="O21" i="65" s="1"/>
  <c r="O22" i="65" s="1"/>
  <c r="O23" i="65" s="1"/>
  <c r="O24" i="65" s="1"/>
  <c r="O25" i="65" s="1"/>
  <c r="O26" i="65" s="1"/>
  <c r="O27" i="65" s="1"/>
  <c r="N17" i="65"/>
  <c r="N18" i="65" s="1"/>
  <c r="N19" i="65" s="1"/>
  <c r="N20" i="65" s="1"/>
  <c r="N21" i="65"/>
  <c r="N22" i="65" s="1"/>
  <c r="N23" i="65" s="1"/>
  <c r="N24" i="65" s="1"/>
  <c r="N25" i="65" s="1"/>
  <c r="N26" i="65" s="1"/>
  <c r="N27" i="65" s="1"/>
  <c r="Q16" i="65"/>
  <c r="P16" i="65"/>
  <c r="O16" i="65"/>
  <c r="N16" i="65"/>
  <c r="Q17" i="88"/>
  <c r="Q18" i="88" s="1"/>
  <c r="Q19" i="88" s="1"/>
  <c r="Q20" i="88" s="1"/>
  <c r="Q21" i="88" s="1"/>
  <c r="Q22" i="88" s="1"/>
  <c r="Q23" i="88" s="1"/>
  <c r="Q24" i="88" s="1"/>
  <c r="Q25" i="88" s="1"/>
  <c r="Q26" i="88" s="1"/>
  <c r="Q27" i="88" s="1"/>
  <c r="P17" i="88"/>
  <c r="P18" i="88" s="1"/>
  <c r="P19" i="88" s="1"/>
  <c r="P20" i="88" s="1"/>
  <c r="P21" i="88" s="1"/>
  <c r="P22" i="88" s="1"/>
  <c r="P23" i="88" s="1"/>
  <c r="P24" i="88"/>
  <c r="P25" i="88" s="1"/>
  <c r="P26" i="88" s="1"/>
  <c r="P27" i="88" s="1"/>
  <c r="O17" i="88"/>
  <c r="O18" i="88" s="1"/>
  <c r="O19" i="88" s="1"/>
  <c r="O20" i="88" s="1"/>
  <c r="O21" i="88"/>
  <c r="O22" i="88" s="1"/>
  <c r="O23" i="88" s="1"/>
  <c r="O24" i="88" s="1"/>
  <c r="O25" i="88" s="1"/>
  <c r="O26" i="88" s="1"/>
  <c r="O27" i="88" s="1"/>
  <c r="N17" i="88"/>
  <c r="N18" i="88"/>
  <c r="N19" i="88" s="1"/>
  <c r="N20" i="88" s="1"/>
  <c r="N21" i="88" s="1"/>
  <c r="N22" i="88"/>
  <c r="N23" i="88" s="1"/>
  <c r="N24" i="88" s="1"/>
  <c r="N25" i="88" s="1"/>
  <c r="N26" i="88" s="1"/>
  <c r="N27" i="88" s="1"/>
  <c r="Q16" i="88"/>
  <c r="P16" i="88"/>
  <c r="O16" i="88"/>
  <c r="N16" i="88"/>
  <c r="N4" i="85"/>
  <c r="N17" i="85" s="1"/>
  <c r="N18" i="85" s="1"/>
  <c r="N19" i="85" s="1"/>
  <c r="N20" i="85" s="1"/>
  <c r="N21" i="85" s="1"/>
  <c r="N22" i="85" s="1"/>
  <c r="N23" i="85" s="1"/>
  <c r="N24" i="85" s="1"/>
  <c r="N25" i="85" s="1"/>
  <c r="N26" i="85" s="1"/>
  <c r="N27" i="85" s="1"/>
  <c r="N5" i="85"/>
  <c r="N6" i="85"/>
  <c r="N16" i="85" s="1"/>
  <c r="N7" i="85"/>
  <c r="N8" i="85"/>
  <c r="N9" i="85"/>
  <c r="N10" i="85"/>
  <c r="N10" i="30" s="1"/>
  <c r="Q17" i="85"/>
  <c r="Q18" i="85" s="1"/>
  <c r="Q19" i="85" s="1"/>
  <c r="Q20" i="85" s="1"/>
  <c r="Q21" i="85" s="1"/>
  <c r="Q22" i="85" s="1"/>
  <c r="Q23" i="85" s="1"/>
  <c r="Q24" i="85" s="1"/>
  <c r="Q25" i="85" s="1"/>
  <c r="Q26" i="85" s="1"/>
  <c r="Q27" i="85" s="1"/>
  <c r="P17" i="85"/>
  <c r="P18" i="85" s="1"/>
  <c r="P19" i="85" s="1"/>
  <c r="P20" i="85" s="1"/>
  <c r="P21" i="85"/>
  <c r="P22" i="85" s="1"/>
  <c r="P23" i="85" s="1"/>
  <c r="P24" i="85" s="1"/>
  <c r="P25" i="85" s="1"/>
  <c r="P26" i="85" s="1"/>
  <c r="P27" i="85" s="1"/>
  <c r="O17" i="85"/>
  <c r="O18" i="85"/>
  <c r="O19" i="85" s="1"/>
  <c r="O20" i="85" s="1"/>
  <c r="O21" i="85" s="1"/>
  <c r="O22" i="85" s="1"/>
  <c r="O23" i="85" s="1"/>
  <c r="O24" i="85" s="1"/>
  <c r="O25" i="85" s="1"/>
  <c r="O26" i="85" s="1"/>
  <c r="O27" i="85" s="1"/>
  <c r="Q16" i="85"/>
  <c r="P16" i="85"/>
  <c r="O16" i="85"/>
  <c r="AG17" i="78"/>
  <c r="AG18" i="78" s="1"/>
  <c r="AG19" i="78" s="1"/>
  <c r="AG20" i="78" s="1"/>
  <c r="AG21" i="78"/>
  <c r="AG22" i="78" s="1"/>
  <c r="AG23" i="78" s="1"/>
  <c r="AG24" i="78" s="1"/>
  <c r="AG25" i="78" s="1"/>
  <c r="AG26" i="78" s="1"/>
  <c r="AG27" i="78" s="1"/>
  <c r="AF17" i="78"/>
  <c r="AF18" i="78"/>
  <c r="AF19" i="78" s="1"/>
  <c r="AF20" i="78" s="1"/>
  <c r="AF21" i="78" s="1"/>
  <c r="AF22" i="78" s="1"/>
  <c r="AF23" i="78" s="1"/>
  <c r="AF24" i="78" s="1"/>
  <c r="AF25" i="78" s="1"/>
  <c r="AF26" i="78"/>
  <c r="AF27" i="78" s="1"/>
  <c r="AE17" i="78"/>
  <c r="AE18" i="78"/>
  <c r="AE19" i="78" s="1"/>
  <c r="AE20" i="78" s="1"/>
  <c r="AE21" i="78" s="1"/>
  <c r="AE22" i="78" s="1"/>
  <c r="AE23" i="78" s="1"/>
  <c r="AE24" i="78" s="1"/>
  <c r="AE25" i="78" s="1"/>
  <c r="AE26" i="78" s="1"/>
  <c r="AE27" i="78" s="1"/>
  <c r="AD17" i="78"/>
  <c r="AD18" i="78" s="1"/>
  <c r="AD19" i="78" s="1"/>
  <c r="AD20" i="78" s="1"/>
  <c r="AD21" i="78" s="1"/>
  <c r="AD22" i="78" s="1"/>
  <c r="AD23" i="78" s="1"/>
  <c r="AD24" i="78"/>
  <c r="AD25" i="78" s="1"/>
  <c r="AD26" i="78" s="1"/>
  <c r="AD27" i="78" s="1"/>
  <c r="AG16" i="78"/>
  <c r="AF16" i="78"/>
  <c r="AE16" i="78"/>
  <c r="AD16" i="78"/>
  <c r="U17" i="77"/>
  <c r="U18" i="77" s="1"/>
  <c r="U19" i="77" s="1"/>
  <c r="U20" i="77" s="1"/>
  <c r="U21" i="77" s="1"/>
  <c r="U22" i="77" s="1"/>
  <c r="U23" i="77" s="1"/>
  <c r="U24" i="77" s="1"/>
  <c r="U25" i="77" s="1"/>
  <c r="U26" i="77" s="1"/>
  <c r="U27" i="77" s="1"/>
  <c r="T17" i="77"/>
  <c r="T18" i="77"/>
  <c r="T19" i="77" s="1"/>
  <c r="T20" i="77" s="1"/>
  <c r="T21" i="77" s="1"/>
  <c r="T22" i="77" s="1"/>
  <c r="T23" i="77" s="1"/>
  <c r="T24" i="77" s="1"/>
  <c r="T25" i="77" s="1"/>
  <c r="T26" i="77" s="1"/>
  <c r="T27" i="77" s="1"/>
  <c r="S17" i="77"/>
  <c r="S18" i="77"/>
  <c r="S19" i="77" s="1"/>
  <c r="S20" i="77" s="1"/>
  <c r="S21" i="77" s="1"/>
  <c r="S22" i="77"/>
  <c r="S23" i="77" s="1"/>
  <c r="S24" i="77" s="1"/>
  <c r="S25" i="77" s="1"/>
  <c r="S26" i="77" s="1"/>
  <c r="S27" i="77" s="1"/>
  <c r="R17" i="77"/>
  <c r="R18" i="77" s="1"/>
  <c r="R19" i="77" s="1"/>
  <c r="R20" i="77" s="1"/>
  <c r="R21" i="77" s="1"/>
  <c r="R22" i="77" s="1"/>
  <c r="R23" i="77" s="1"/>
  <c r="R24" i="77" s="1"/>
  <c r="R25" i="77" s="1"/>
  <c r="R26" i="77" s="1"/>
  <c r="R27" i="77" s="1"/>
  <c r="U16" i="77"/>
  <c r="T16" i="77"/>
  <c r="S16" i="77"/>
  <c r="R16" i="77"/>
  <c r="Q17" i="77"/>
  <c r="Q18" i="77" s="1"/>
  <c r="Q19" i="77" s="1"/>
  <c r="Q20" i="77" s="1"/>
  <c r="Q21" i="77"/>
  <c r="Q22" i="77" s="1"/>
  <c r="Q23" i="77" s="1"/>
  <c r="Q24" i="77" s="1"/>
  <c r="Q25" i="77" s="1"/>
  <c r="Q26" i="77" s="1"/>
  <c r="Q27" i="77" s="1"/>
  <c r="P17" i="77"/>
  <c r="P18" i="77"/>
  <c r="P19" i="77" s="1"/>
  <c r="P20" i="77" s="1"/>
  <c r="P21" i="77" s="1"/>
  <c r="P22" i="77" s="1"/>
  <c r="P23" i="77" s="1"/>
  <c r="P24" i="77" s="1"/>
  <c r="P25" i="77" s="1"/>
  <c r="P26" i="77"/>
  <c r="P27" i="77" s="1"/>
  <c r="O17" i="77"/>
  <c r="O18" i="77"/>
  <c r="O19" i="77" s="1"/>
  <c r="O20" i="77" s="1"/>
  <c r="O21" i="77" s="1"/>
  <c r="O22" i="77" s="1"/>
  <c r="O23" i="77" s="1"/>
  <c r="O24" i="77" s="1"/>
  <c r="O25" i="77" s="1"/>
  <c r="O26" i="77" s="1"/>
  <c r="O27" i="77" s="1"/>
  <c r="N17" i="77"/>
  <c r="N18" i="77" s="1"/>
  <c r="N19" i="77" s="1"/>
  <c r="N20" i="77" s="1"/>
  <c r="N21" i="77" s="1"/>
  <c r="N22" i="77" s="1"/>
  <c r="N23" i="77" s="1"/>
  <c r="N24" i="77"/>
  <c r="N25" i="77" s="1"/>
  <c r="N26" i="77" s="1"/>
  <c r="N27" i="77" s="1"/>
  <c r="Q16" i="77"/>
  <c r="P16" i="77"/>
  <c r="O16" i="77"/>
  <c r="N16" i="77"/>
  <c r="J9" i="5"/>
  <c r="J4" i="5"/>
  <c r="J5" i="5"/>
  <c r="J6" i="5"/>
  <c r="J7" i="5"/>
  <c r="J8" i="5"/>
  <c r="U17" i="17"/>
  <c r="U18" i="17"/>
  <c r="U19" i="17"/>
  <c r="U20" i="17" s="1"/>
  <c r="U21" i="17" s="1"/>
  <c r="U22" i="17" s="1"/>
  <c r="U23" i="17" s="1"/>
  <c r="U24" i="17" s="1"/>
  <c r="U25" i="17" s="1"/>
  <c r="U26" i="17" s="1"/>
  <c r="U27" i="17" s="1"/>
  <c r="T17" i="17"/>
  <c r="T18" i="17" s="1"/>
  <c r="T19" i="17"/>
  <c r="T20" i="17" s="1"/>
  <c r="T21" i="17" s="1"/>
  <c r="T22" i="17" s="1"/>
  <c r="T23" i="17" s="1"/>
  <c r="T24" i="17" s="1"/>
  <c r="T25" i="17" s="1"/>
  <c r="T26" i="17" s="1"/>
  <c r="T27" i="17" s="1"/>
  <c r="S17" i="17"/>
  <c r="S18" i="17" s="1"/>
  <c r="S19" i="17" s="1"/>
  <c r="S20" i="17"/>
  <c r="S21" i="17" s="1"/>
  <c r="S22" i="17" s="1"/>
  <c r="S23" i="17" s="1"/>
  <c r="S24" i="17"/>
  <c r="S25" i="17" s="1"/>
  <c r="S26" i="17" s="1"/>
  <c r="S27" i="17" s="1"/>
  <c r="R17" i="17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U16" i="17"/>
  <c r="T16" i="17"/>
  <c r="S16" i="17"/>
  <c r="R16" i="17"/>
  <c r="Q17" i="17"/>
  <c r="Q18" i="17"/>
  <c r="Q19" i="17"/>
  <c r="Q20" i="17" s="1"/>
  <c r="Q21" i="17" s="1"/>
  <c r="Q22" i="17" s="1"/>
  <c r="Q23" i="17" s="1"/>
  <c r="Q24" i="17" s="1"/>
  <c r="Q25" i="17" s="1"/>
  <c r="Q26" i="17" s="1"/>
  <c r="Q27" i="17" s="1"/>
  <c r="P17" i="17"/>
  <c r="P18" i="17" s="1"/>
  <c r="P19" i="17"/>
  <c r="P20" i="17" s="1"/>
  <c r="P21" i="17" s="1"/>
  <c r="P22" i="17" s="1"/>
  <c r="P23" i="17" s="1"/>
  <c r="P24" i="17" s="1"/>
  <c r="P25" i="17" s="1"/>
  <c r="P26" i="17" s="1"/>
  <c r="P27" i="17" s="1"/>
  <c r="O17" i="17"/>
  <c r="O18" i="17" s="1"/>
  <c r="O19" i="17" s="1"/>
  <c r="O20" i="17"/>
  <c r="O21" i="17" s="1"/>
  <c r="O22" i="17" s="1"/>
  <c r="O23" i="17" s="1"/>
  <c r="O24" i="17"/>
  <c r="O25" i="17" s="1"/>
  <c r="O26" i="17" s="1"/>
  <c r="O27" i="17" s="1"/>
  <c r="N17" i="17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Q16" i="17"/>
  <c r="P16" i="17"/>
  <c r="O16" i="17"/>
  <c r="N16" i="17"/>
  <c r="AC17" i="8"/>
  <c r="AC18" i="8"/>
  <c r="AC19" i="8"/>
  <c r="AC20" i="8" s="1"/>
  <c r="AC21" i="8" s="1"/>
  <c r="AC22" i="8" s="1"/>
  <c r="AC23" i="8" s="1"/>
  <c r="AC24" i="8" s="1"/>
  <c r="AC25" i="8" s="1"/>
  <c r="AC26" i="8" s="1"/>
  <c r="AC27" i="8" s="1"/>
  <c r="AB17" i="8"/>
  <c r="AB18" i="8" s="1"/>
  <c r="AB19" i="8"/>
  <c r="AB20" i="8" s="1"/>
  <c r="AB21" i="8" s="1"/>
  <c r="AB22" i="8" s="1"/>
  <c r="AB23" i="8" s="1"/>
  <c r="AB24" i="8" s="1"/>
  <c r="AB25" i="8" s="1"/>
  <c r="AB26" i="8" s="1"/>
  <c r="AB27" i="8" s="1"/>
  <c r="AA17" i="8"/>
  <c r="AA18" i="8" s="1"/>
  <c r="AA19" i="8" s="1"/>
  <c r="AA20" i="8"/>
  <c r="AA21" i="8" s="1"/>
  <c r="AA22" i="8" s="1"/>
  <c r="AA23" i="8" s="1"/>
  <c r="AA24" i="8"/>
  <c r="AA25" i="8" s="1"/>
  <c r="AA26" i="8" s="1"/>
  <c r="AA27" i="8" s="1"/>
  <c r="Z17" i="8"/>
  <c r="Z18" i="8" s="1"/>
  <c r="Z19" i="8" s="1"/>
  <c r="Z20" i="8" s="1"/>
  <c r="Z21" i="8" s="1"/>
  <c r="Z22" i="8" s="1"/>
  <c r="Z23" i="8" s="1"/>
  <c r="Z24" i="8" s="1"/>
  <c r="Z25" i="8" s="1"/>
  <c r="Z26" i="8" s="1"/>
  <c r="Z27" i="8" s="1"/>
  <c r="AC16" i="8"/>
  <c r="AB16" i="8"/>
  <c r="AA16" i="8"/>
  <c r="Z16" i="8"/>
  <c r="U17" i="70"/>
  <c r="U18" i="70"/>
  <c r="U19" i="70"/>
  <c r="U20" i="70" s="1"/>
  <c r="U21" i="70" s="1"/>
  <c r="U22" i="70" s="1"/>
  <c r="U23" i="70" s="1"/>
  <c r="U24" i="70" s="1"/>
  <c r="U25" i="70" s="1"/>
  <c r="U26" i="70" s="1"/>
  <c r="U27" i="70" s="1"/>
  <c r="T17" i="70"/>
  <c r="T18" i="70" s="1"/>
  <c r="T19" i="70"/>
  <c r="T20" i="70" s="1"/>
  <c r="T21" i="70" s="1"/>
  <c r="T22" i="70" s="1"/>
  <c r="T23" i="70" s="1"/>
  <c r="T24" i="70" s="1"/>
  <c r="T25" i="70" s="1"/>
  <c r="T26" i="70" s="1"/>
  <c r="T27" i="70" s="1"/>
  <c r="S17" i="70"/>
  <c r="S18" i="70" s="1"/>
  <c r="S19" i="70" s="1"/>
  <c r="S20" i="70"/>
  <c r="S21" i="70" s="1"/>
  <c r="S22" i="70" s="1"/>
  <c r="S23" i="70" s="1"/>
  <c r="S24" i="70"/>
  <c r="S25" i="70" s="1"/>
  <c r="S26" i="70" s="1"/>
  <c r="S27" i="70" s="1"/>
  <c r="R17" i="70"/>
  <c r="R18" i="70" s="1"/>
  <c r="R19" i="70" s="1"/>
  <c r="R20" i="70" s="1"/>
  <c r="R21" i="70" s="1"/>
  <c r="R22" i="70" s="1"/>
  <c r="R23" i="70" s="1"/>
  <c r="R24" i="70" s="1"/>
  <c r="R25" i="70" s="1"/>
  <c r="R26" i="70" s="1"/>
  <c r="R27" i="70" s="1"/>
  <c r="U16" i="70"/>
  <c r="T16" i="70"/>
  <c r="S16" i="70"/>
  <c r="R16" i="70"/>
  <c r="Q17" i="70"/>
  <c r="Q18" i="70"/>
  <c r="Q19" i="70"/>
  <c r="Q20" i="70" s="1"/>
  <c r="Q21" i="70" s="1"/>
  <c r="Q22" i="70" s="1"/>
  <c r="Q23" i="70" s="1"/>
  <c r="Q24" i="70" s="1"/>
  <c r="Q25" i="70" s="1"/>
  <c r="Q26" i="70" s="1"/>
  <c r="Q27" i="70" s="1"/>
  <c r="P17" i="70"/>
  <c r="P18" i="70" s="1"/>
  <c r="P19" i="70"/>
  <c r="P20" i="70" s="1"/>
  <c r="P21" i="70" s="1"/>
  <c r="P22" i="70" s="1"/>
  <c r="P23" i="70" s="1"/>
  <c r="P24" i="70" s="1"/>
  <c r="P25" i="70" s="1"/>
  <c r="P26" i="70" s="1"/>
  <c r="P27" i="70" s="1"/>
  <c r="O17" i="70"/>
  <c r="O18" i="70" s="1"/>
  <c r="O19" i="70" s="1"/>
  <c r="O20" i="70"/>
  <c r="O21" i="70" s="1"/>
  <c r="O22" i="70"/>
  <c r="O23" i="70" s="1"/>
  <c r="O24" i="70" s="1"/>
  <c r="O25" i="70" s="1"/>
  <c r="O26" i="70" s="1"/>
  <c r="O27" i="70" s="1"/>
  <c r="N17" i="70"/>
  <c r="N18" i="70" s="1"/>
  <c r="N19" i="70" s="1"/>
  <c r="N20" i="70" s="1"/>
  <c r="N21" i="70" s="1"/>
  <c r="N22" i="70" s="1"/>
  <c r="N23" i="70" s="1"/>
  <c r="N24" i="70" s="1"/>
  <c r="N25" i="70" s="1"/>
  <c r="N26" i="70" s="1"/>
  <c r="N27" i="70" s="1"/>
  <c r="Q16" i="70"/>
  <c r="P16" i="70"/>
  <c r="O16" i="70"/>
  <c r="N16" i="70"/>
  <c r="Q17" i="18"/>
  <c r="Q18" i="18"/>
  <c r="Q19" i="18" s="1"/>
  <c r="Q20" i="18" s="1"/>
  <c r="Q21" i="18" s="1"/>
  <c r="Q22" i="18" s="1"/>
  <c r="Q23" i="18" s="1"/>
  <c r="Q24" i="18" s="1"/>
  <c r="Q25" i="18" s="1"/>
  <c r="Q26" i="18" s="1"/>
  <c r="Q27" i="18" s="1"/>
  <c r="P17" i="18"/>
  <c r="P18" i="18" s="1"/>
  <c r="P19" i="18" s="1"/>
  <c r="P20" i="18" s="1"/>
  <c r="P21" i="18" s="1"/>
  <c r="P22" i="18" s="1"/>
  <c r="P23" i="18" s="1"/>
  <c r="P24" i="18" s="1"/>
  <c r="P25" i="18" s="1"/>
  <c r="P26" i="18" s="1"/>
  <c r="P27" i="18" s="1"/>
  <c r="O17" i="18"/>
  <c r="O18" i="18" s="1"/>
  <c r="O19" i="18" s="1"/>
  <c r="O20" i="18"/>
  <c r="O21" i="18" s="1"/>
  <c r="O22" i="18" s="1"/>
  <c r="O23" i="18" s="1"/>
  <c r="O24" i="18" s="1"/>
  <c r="O25" i="18" s="1"/>
  <c r="O26" i="18" s="1"/>
  <c r="O27" i="18" s="1"/>
  <c r="N17" i="18"/>
  <c r="N18" i="18" s="1"/>
  <c r="N19" i="18"/>
  <c r="N20" i="18" s="1"/>
  <c r="N21" i="18" s="1"/>
  <c r="N22" i="18" s="1"/>
  <c r="N23" i="18" s="1"/>
  <c r="N24" i="18" s="1"/>
  <c r="N25" i="18"/>
  <c r="N26" i="18" s="1"/>
  <c r="N27" i="18" s="1"/>
  <c r="Q16" i="18"/>
  <c r="P16" i="18"/>
  <c r="O16" i="18"/>
  <c r="N16" i="18"/>
  <c r="AO56" i="83"/>
  <c r="AO56" i="91"/>
  <c r="AO55" i="83"/>
  <c r="AO55" i="91"/>
  <c r="AO53" i="83"/>
  <c r="AO53" i="91"/>
  <c r="AO52" i="83"/>
  <c r="AO52" i="91"/>
  <c r="AO51" i="83"/>
  <c r="AO51" i="91"/>
  <c r="AO48" i="83"/>
  <c r="AO42" i="83" s="1"/>
  <c r="AO48" i="91"/>
  <c r="AO42" i="91" s="1"/>
  <c r="AO36" i="83"/>
  <c r="AO35" i="83"/>
  <c r="AO34" i="83" s="1"/>
  <c r="AO35" i="91"/>
  <c r="AO36" i="91"/>
  <c r="AO34" i="91" s="1"/>
  <c r="AO37" i="83"/>
  <c r="AO37" i="91"/>
  <c r="AO38" i="83"/>
  <c r="AO38" i="91"/>
  <c r="AO39" i="83"/>
  <c r="AO39" i="91"/>
  <c r="AO40" i="83"/>
  <c r="AO40" i="91"/>
  <c r="AO41" i="83"/>
  <c r="AO41" i="91"/>
  <c r="AO33" i="83"/>
  <c r="AO33" i="91"/>
  <c r="AO32" i="83"/>
  <c r="AO32" i="91"/>
  <c r="AO30" i="83"/>
  <c r="AO30" i="91"/>
  <c r="AO29" i="83"/>
  <c r="AO27" i="83"/>
  <c r="AO27" i="91"/>
  <c r="AO25" i="83"/>
  <c r="AO25" i="91"/>
  <c r="AO24" i="83"/>
  <c r="AO24" i="91"/>
  <c r="AO23" i="83"/>
  <c r="AO23" i="91"/>
  <c r="AO22" i="83"/>
  <c r="AO22" i="91"/>
  <c r="AO20" i="83"/>
  <c r="AO20" i="91"/>
  <c r="AO18" i="83"/>
  <c r="AO18" i="91"/>
  <c r="AO17" i="83"/>
  <c r="AO16" i="83" s="1"/>
  <c r="AO17" i="91"/>
  <c r="AO59" i="83"/>
  <c r="AO60" i="83"/>
  <c r="AO61" i="83"/>
  <c r="AO70" i="83"/>
  <c r="AO73" i="83"/>
  <c r="AO49" i="83"/>
  <c r="AO26" i="83"/>
  <c r="AO59" i="91"/>
  <c r="AO60" i="91"/>
  <c r="AO61" i="91"/>
  <c r="AO57" i="91" s="1"/>
  <c r="AO70" i="91"/>
  <c r="AO73" i="91"/>
  <c r="AO49" i="91"/>
  <c r="AO16" i="91"/>
  <c r="AS73" i="83"/>
  <c r="AS72" i="83"/>
  <c r="AS71" i="83"/>
  <c r="AS70" i="83"/>
  <c r="AS69" i="83"/>
  <c r="AS68" i="83"/>
  <c r="AS67" i="83"/>
  <c r="AS66" i="83"/>
  <c r="AS65" i="83"/>
  <c r="AS64" i="83"/>
  <c r="AS63" i="83"/>
  <c r="AS62" i="83"/>
  <c r="AS61" i="83"/>
  <c r="AS60" i="83"/>
  <c r="AS59" i="83"/>
  <c r="AS58" i="83"/>
  <c r="AS56" i="83"/>
  <c r="AT56" i="83"/>
  <c r="AS55" i="83"/>
  <c r="AT55" i="83" s="1"/>
  <c r="AS54" i="83"/>
  <c r="AS53" i="83"/>
  <c r="AT53" i="83"/>
  <c r="AS52" i="83"/>
  <c r="AT52" i="83"/>
  <c r="AS51" i="83"/>
  <c r="AT51" i="83"/>
  <c r="AS50" i="83"/>
  <c r="AS49" i="83"/>
  <c r="AS48" i="83"/>
  <c r="AT48" i="83" s="1"/>
  <c r="AS47" i="83"/>
  <c r="AS46" i="83"/>
  <c r="AS45" i="83"/>
  <c r="AS44" i="83"/>
  <c r="AS43" i="83"/>
  <c r="AS42" i="83"/>
  <c r="AS41" i="83"/>
  <c r="AT41" i="83"/>
  <c r="AS40" i="83"/>
  <c r="AT40" i="83" s="1"/>
  <c r="AS39" i="83"/>
  <c r="AT39" i="83"/>
  <c r="AS38" i="83"/>
  <c r="AT38" i="83" s="1"/>
  <c r="AS37" i="83"/>
  <c r="AT37" i="83"/>
  <c r="AS36" i="83"/>
  <c r="AT36" i="83" s="1"/>
  <c r="AS35" i="83"/>
  <c r="AT35" i="83"/>
  <c r="AS33" i="83"/>
  <c r="AT33" i="83"/>
  <c r="AS32" i="83"/>
  <c r="AT32" i="83" s="1"/>
  <c r="AS31" i="83"/>
  <c r="AT31" i="83"/>
  <c r="AS30" i="83"/>
  <c r="AT30" i="83" s="1"/>
  <c r="AS29" i="83"/>
  <c r="AT29" i="83"/>
  <c r="AS28" i="83"/>
  <c r="AT28" i="83" s="1"/>
  <c r="AS27" i="83"/>
  <c r="AT27" i="83"/>
  <c r="AS25" i="83"/>
  <c r="AT25" i="83"/>
  <c r="AS24" i="83"/>
  <c r="AT24" i="83" s="1"/>
  <c r="AS23" i="83"/>
  <c r="AT23" i="83"/>
  <c r="AS22" i="83"/>
  <c r="AT22" i="83" s="1"/>
  <c r="AS21" i="83"/>
  <c r="AS20" i="83"/>
  <c r="AT20" i="83"/>
  <c r="AS19" i="83"/>
  <c r="AS18" i="83"/>
  <c r="AT18" i="83"/>
  <c r="AS17" i="83"/>
  <c r="AT17" i="83" s="1"/>
  <c r="AS73" i="91"/>
  <c r="AS72" i="91"/>
  <c r="AS71" i="91"/>
  <c r="AS70" i="91"/>
  <c r="AS69" i="91"/>
  <c r="AS68" i="91"/>
  <c r="AS67" i="91"/>
  <c r="AS66" i="91"/>
  <c r="AS65" i="91"/>
  <c r="AS64" i="91"/>
  <c r="AS63" i="91"/>
  <c r="AS62" i="91"/>
  <c r="AS61" i="91"/>
  <c r="AS60" i="91"/>
  <c r="AS59" i="91"/>
  <c r="AS58" i="91"/>
  <c r="AS56" i="91"/>
  <c r="AT56" i="91" s="1"/>
  <c r="AS55" i="91"/>
  <c r="AT55" i="91"/>
  <c r="AS54" i="91"/>
  <c r="AS53" i="91"/>
  <c r="AT53" i="91"/>
  <c r="AS52" i="91"/>
  <c r="AT52" i="91" s="1"/>
  <c r="AS51" i="91"/>
  <c r="AT51" i="91"/>
  <c r="AS50" i="91"/>
  <c r="AS48" i="91"/>
  <c r="AT48" i="91" s="1"/>
  <c r="AS47" i="91"/>
  <c r="AS46" i="91"/>
  <c r="AS45" i="91"/>
  <c r="AS44" i="91"/>
  <c r="AS43" i="91"/>
  <c r="AS42" i="91"/>
  <c r="AT42" i="91"/>
  <c r="AS41" i="91"/>
  <c r="AT41" i="91"/>
  <c r="AS40" i="91"/>
  <c r="AT40" i="91"/>
  <c r="AS39" i="91"/>
  <c r="AT39" i="91"/>
  <c r="AS38" i="91"/>
  <c r="AT38" i="91"/>
  <c r="AS37" i="91"/>
  <c r="AT37" i="91"/>
  <c r="AS36" i="91"/>
  <c r="AT36" i="91"/>
  <c r="AS35" i="91"/>
  <c r="AT35" i="91"/>
  <c r="AS33" i="91"/>
  <c r="AT33" i="91" s="1"/>
  <c r="AS32" i="91"/>
  <c r="AT32" i="91"/>
  <c r="AS31" i="91"/>
  <c r="AT31" i="91" s="1"/>
  <c r="AS30" i="91"/>
  <c r="AT30" i="91"/>
  <c r="AS29" i="91"/>
  <c r="AT29" i="91" s="1"/>
  <c r="AS28" i="91"/>
  <c r="AT28" i="91"/>
  <c r="AS27" i="91"/>
  <c r="AT27" i="91" s="1"/>
  <c r="AS25" i="91"/>
  <c r="AT25" i="91"/>
  <c r="AS24" i="91"/>
  <c r="AT24" i="91"/>
  <c r="AS23" i="91"/>
  <c r="AT23" i="91"/>
  <c r="AS22" i="91"/>
  <c r="AT22" i="91"/>
  <c r="AS21" i="91"/>
  <c r="AS20" i="91"/>
  <c r="AT20" i="91" s="1"/>
  <c r="AS19" i="91"/>
  <c r="AS18" i="91"/>
  <c r="AT18" i="91" s="1"/>
  <c r="AS17" i="91"/>
  <c r="AT17" i="91"/>
  <c r="AQ25" i="91"/>
  <c r="AQ25" i="83"/>
  <c r="U25" i="83" s="1"/>
  <c r="AQ52" i="91"/>
  <c r="AQ51" i="91"/>
  <c r="AQ52" i="83"/>
  <c r="U52" i="83" s="1"/>
  <c r="AQ51" i="83"/>
  <c r="U51" i="83" s="1"/>
  <c r="AL36" i="83"/>
  <c r="AL35" i="83"/>
  <c r="AL33" i="83"/>
  <c r="AL31" i="83"/>
  <c r="AL30" i="83"/>
  <c r="AL21" i="83"/>
  <c r="AI68" i="83"/>
  <c r="AI63" i="83"/>
  <c r="AI65" i="83"/>
  <c r="AI62" i="83"/>
  <c r="AI54" i="83"/>
  <c r="AI44" i="83"/>
  <c r="AI37" i="83"/>
  <c r="AI36" i="83"/>
  <c r="AI35" i="83"/>
  <c r="AI34" i="83" s="1"/>
  <c r="AI32" i="83"/>
  <c r="AG19" i="83"/>
  <c r="AF60" i="83"/>
  <c r="AF54" i="83"/>
  <c r="AF49" i="83" s="1"/>
  <c r="AF44" i="83"/>
  <c r="AF42" i="83" s="1"/>
  <c r="AF27" i="83"/>
  <c r="AF23" i="83"/>
  <c r="AF18" i="83"/>
  <c r="AF17" i="83"/>
  <c r="AC41" i="83"/>
  <c r="AC53" i="83"/>
  <c r="AC28" i="83"/>
  <c r="AC39" i="83"/>
  <c r="AC34" i="83" s="1"/>
  <c r="AC44" i="83"/>
  <c r="AC32" i="83"/>
  <c r="AC31" i="83"/>
  <c r="AC21" i="83"/>
  <c r="AC20" i="83"/>
  <c r="AC9" i="83"/>
  <c r="AC6" i="83" s="1"/>
  <c r="Z59" i="83"/>
  <c r="Z60" i="83"/>
  <c r="Z73" i="83"/>
  <c r="Z58" i="83"/>
  <c r="Z56" i="83"/>
  <c r="Z50" i="83"/>
  <c r="Z41" i="83"/>
  <c r="Z40" i="83"/>
  <c r="Z39" i="83"/>
  <c r="Z34" i="83" s="1"/>
  <c r="Z38" i="83"/>
  <c r="AN54" i="83"/>
  <c r="R54" i="83" s="1"/>
  <c r="AN50" i="83"/>
  <c r="AN47" i="83"/>
  <c r="R47" i="83" s="1"/>
  <c r="AN46" i="83"/>
  <c r="R46" i="83" s="1"/>
  <c r="AN45" i="83"/>
  <c r="R45" i="83" s="1"/>
  <c r="AN44" i="83"/>
  <c r="R44" i="83" s="1"/>
  <c r="AN43" i="83"/>
  <c r="AN31" i="83"/>
  <c r="AN21" i="83"/>
  <c r="R21" i="83" s="1"/>
  <c r="AN19" i="83"/>
  <c r="AN15" i="83"/>
  <c r="AN14" i="83"/>
  <c r="AN13" i="83"/>
  <c r="AN12" i="83"/>
  <c r="AN11" i="83"/>
  <c r="AN10" i="83"/>
  <c r="AN9" i="83"/>
  <c r="AN8" i="83"/>
  <c r="AK65" i="83"/>
  <c r="AK48" i="83"/>
  <c r="AK15" i="83"/>
  <c r="AK12" i="83"/>
  <c r="O12" i="83" s="1"/>
  <c r="AK7" i="83"/>
  <c r="AH48" i="83"/>
  <c r="AE73" i="83"/>
  <c r="I73" i="83" s="1"/>
  <c r="AE72" i="83"/>
  <c r="I72" i="83" s="1"/>
  <c r="AE71" i="83"/>
  <c r="I71" i="83" s="1"/>
  <c r="AE69" i="83"/>
  <c r="I69" i="83" s="1"/>
  <c r="AE68" i="83"/>
  <c r="I68" i="83" s="1"/>
  <c r="AE67" i="83"/>
  <c r="I67" i="83" s="1"/>
  <c r="AE66" i="83"/>
  <c r="I66" i="83" s="1"/>
  <c r="AE65" i="83"/>
  <c r="I65" i="83" s="1"/>
  <c r="AE64" i="83"/>
  <c r="I64" i="83" s="1"/>
  <c r="AE63" i="83"/>
  <c r="I63" i="83" s="1"/>
  <c r="AE62" i="83"/>
  <c r="I62" i="83" s="1"/>
  <c r="AE61" i="83"/>
  <c r="I61" i="83" s="1"/>
  <c r="AE58" i="83"/>
  <c r="AE15" i="83"/>
  <c r="I15" i="83" s="1"/>
  <c r="AE13" i="83"/>
  <c r="I13" i="83" s="1"/>
  <c r="AE12" i="83"/>
  <c r="I12" i="83" s="1"/>
  <c r="AE11" i="83"/>
  <c r="I11" i="83" s="1"/>
  <c r="AE10" i="83"/>
  <c r="I10" i="83" s="1"/>
  <c r="AE9" i="83"/>
  <c r="I9" i="83" s="1"/>
  <c r="AE8" i="83"/>
  <c r="I8" i="83" s="1"/>
  <c r="AH70" i="91"/>
  <c r="AH48" i="91"/>
  <c r="AQ50" i="83"/>
  <c r="AQ17" i="83"/>
  <c r="AN54" i="91"/>
  <c r="AN47" i="91"/>
  <c r="AN46" i="91"/>
  <c r="AN45" i="91"/>
  <c r="AN44" i="91"/>
  <c r="AN43" i="91"/>
  <c r="AN31" i="91"/>
  <c r="AN21" i="91"/>
  <c r="AN19" i="91"/>
  <c r="AN7" i="83"/>
  <c r="AB70" i="83"/>
  <c r="F70" i="83" s="1"/>
  <c r="AB69" i="83"/>
  <c r="F69" i="83" s="1"/>
  <c r="AB68" i="83"/>
  <c r="F68" i="83" s="1"/>
  <c r="AB67" i="83"/>
  <c r="F67" i="83" s="1"/>
  <c r="AB66" i="83"/>
  <c r="F66" i="83" s="1"/>
  <c r="AB65" i="83"/>
  <c r="F65" i="83" s="1"/>
  <c r="AB64" i="83"/>
  <c r="F64" i="83" s="1"/>
  <c r="AB63" i="83"/>
  <c r="F63" i="83" s="1"/>
  <c r="AB62" i="83"/>
  <c r="F62" i="83" s="1"/>
  <c r="AB60" i="83"/>
  <c r="F60" i="83" s="1"/>
  <c r="AB59" i="83"/>
  <c r="AB54" i="83"/>
  <c r="AB48" i="83"/>
  <c r="F48" i="83" s="1"/>
  <c r="AB47" i="83"/>
  <c r="AB15" i="83"/>
  <c r="F15" i="83" s="1"/>
  <c r="AB14" i="83"/>
  <c r="AB13" i="83"/>
  <c r="F13" i="83" s="1"/>
  <c r="Y72" i="83"/>
  <c r="C72" i="83" s="1"/>
  <c r="Y71" i="83"/>
  <c r="C71" i="83" s="1"/>
  <c r="Y70" i="83"/>
  <c r="C70" i="83" s="1"/>
  <c r="Y69" i="83"/>
  <c r="C69" i="83" s="1"/>
  <c r="Y68" i="83"/>
  <c r="C68" i="83" s="1"/>
  <c r="Y67" i="83"/>
  <c r="C67" i="83" s="1"/>
  <c r="Y66" i="83"/>
  <c r="C66" i="83" s="1"/>
  <c r="Y65" i="83"/>
  <c r="C65" i="83" s="1"/>
  <c r="Y64" i="83"/>
  <c r="C64" i="83" s="1"/>
  <c r="Y63" i="83"/>
  <c r="C63" i="83" s="1"/>
  <c r="Y62" i="83"/>
  <c r="C62" i="83" s="1"/>
  <c r="Y61" i="83"/>
  <c r="Y54" i="83"/>
  <c r="Y48" i="83"/>
  <c r="C48" i="83" s="1"/>
  <c r="Y47" i="83"/>
  <c r="C47" i="83" s="1"/>
  <c r="Y46" i="83"/>
  <c r="Y31" i="83"/>
  <c r="Y19" i="83"/>
  <c r="Y15" i="83"/>
  <c r="C15" i="83" s="1"/>
  <c r="Y13" i="83"/>
  <c r="C13" i="83" s="1"/>
  <c r="Y12" i="83"/>
  <c r="AE15" i="91"/>
  <c r="I15" i="91" s="1"/>
  <c r="AE13" i="91"/>
  <c r="Y72" i="91"/>
  <c r="Y71" i="91"/>
  <c r="Y70" i="91"/>
  <c r="Y69" i="91"/>
  <c r="Y68" i="91"/>
  <c r="Y67" i="91"/>
  <c r="Y66" i="91"/>
  <c r="Y65" i="91"/>
  <c r="Y64" i="91"/>
  <c r="Y63" i="91"/>
  <c r="Y62" i="91"/>
  <c r="Y61" i="91"/>
  <c r="Y54" i="91"/>
  <c r="Y48" i="91"/>
  <c r="Y47" i="91"/>
  <c r="Y46" i="91"/>
  <c r="Y31" i="91"/>
  <c r="Y19" i="91"/>
  <c r="Y15" i="91"/>
  <c r="Y13" i="91"/>
  <c r="Y12" i="91"/>
  <c r="AB73" i="91"/>
  <c r="AB70" i="91"/>
  <c r="AB69" i="91"/>
  <c r="AB68" i="91"/>
  <c r="F68" i="91" s="1"/>
  <c r="AB67" i="91"/>
  <c r="AB66" i="91"/>
  <c r="F66" i="91" s="1"/>
  <c r="AB65" i="91"/>
  <c r="AB64" i="91"/>
  <c r="F64" i="91" s="1"/>
  <c r="AB63" i="91"/>
  <c r="AB62" i="91"/>
  <c r="AB60" i="91"/>
  <c r="AB59" i="91"/>
  <c r="AB54" i="91"/>
  <c r="AB48" i="91"/>
  <c r="AB47" i="91"/>
  <c r="AK73" i="91"/>
  <c r="AE73" i="91"/>
  <c r="AJ74" i="104"/>
  <c r="AG49" i="104"/>
  <c r="AG16" i="104"/>
  <c r="AA42" i="104"/>
  <c r="AA74" i="104" s="1"/>
  <c r="AR49" i="91"/>
  <c r="AR16" i="91"/>
  <c r="AQ50" i="91"/>
  <c r="U50" i="91" s="1"/>
  <c r="AL16" i="91"/>
  <c r="AL57" i="91"/>
  <c r="AL49" i="91"/>
  <c r="AL6" i="91"/>
  <c r="AJ57" i="91"/>
  <c r="AJ6" i="91"/>
  <c r="AJ74" i="91" s="1"/>
  <c r="AJ49" i="91"/>
  <c r="AI16" i="91"/>
  <c r="AI49" i="91"/>
  <c r="AG49" i="91"/>
  <c r="AG16" i="91"/>
  <c r="AF16" i="91"/>
  <c r="AF49" i="91"/>
  <c r="AF57" i="91"/>
  <c r="AC16" i="91"/>
  <c r="AC49" i="91"/>
  <c r="AA26" i="91"/>
  <c r="AA34" i="91"/>
  <c r="Z6" i="91"/>
  <c r="Z16" i="91"/>
  <c r="Z49" i="91"/>
  <c r="AR16" i="83"/>
  <c r="AR49" i="83"/>
  <c r="AP16" i="83"/>
  <c r="AN6" i="83"/>
  <c r="AL16" i="83"/>
  <c r="AJ6" i="83"/>
  <c r="AL49" i="83"/>
  <c r="AL26" i="83"/>
  <c r="AL34" i="83"/>
  <c r="AJ42" i="83"/>
  <c r="AJ49" i="83"/>
  <c r="AI16" i="83"/>
  <c r="AI49" i="83"/>
  <c r="AI26" i="83"/>
  <c r="AI42" i="83"/>
  <c r="AG49" i="83"/>
  <c r="AG16" i="83"/>
  <c r="AF16" i="83"/>
  <c r="AF26" i="83"/>
  <c r="AC16" i="83"/>
  <c r="AC49" i="83"/>
  <c r="AC26" i="83"/>
  <c r="AC42" i="83"/>
  <c r="AC57" i="83"/>
  <c r="AA42" i="83"/>
  <c r="AA26" i="83"/>
  <c r="AA34" i="83"/>
  <c r="Z6" i="83"/>
  <c r="Z16" i="83"/>
  <c r="Z49" i="83"/>
  <c r="AR16" i="104"/>
  <c r="AR74" i="104" s="1"/>
  <c r="AQ16" i="104"/>
  <c r="AP16" i="104"/>
  <c r="AO16" i="104"/>
  <c r="AN16" i="104"/>
  <c r="AM16" i="104"/>
  <c r="AL16" i="104"/>
  <c r="AK16" i="104"/>
  <c r="AJ16" i="104"/>
  <c r="AI16" i="104"/>
  <c r="AH16" i="104"/>
  <c r="AF16" i="104"/>
  <c r="AE16" i="104"/>
  <c r="AD16" i="104"/>
  <c r="AC16" i="104"/>
  <c r="AB16" i="104"/>
  <c r="AA16" i="104"/>
  <c r="Z16" i="104"/>
  <c r="Y16" i="104"/>
  <c r="AP16" i="91"/>
  <c r="AM16" i="91"/>
  <c r="AJ16" i="91"/>
  <c r="AD16" i="91"/>
  <c r="AA16" i="91"/>
  <c r="AM16" i="83"/>
  <c r="AJ16" i="83"/>
  <c r="AD16" i="83"/>
  <c r="AA16" i="83"/>
  <c r="AQ6" i="104"/>
  <c r="AP6" i="104"/>
  <c r="AP6" i="91"/>
  <c r="AP74" i="91" s="1"/>
  <c r="AP6" i="83"/>
  <c r="AN6" i="104"/>
  <c r="AN6" i="91"/>
  <c r="AM6" i="104"/>
  <c r="AM6" i="91"/>
  <c r="AM6" i="83"/>
  <c r="AK6" i="104"/>
  <c r="AJ6" i="104"/>
  <c r="AH6" i="104"/>
  <c r="AG6" i="104"/>
  <c r="AG6" i="91"/>
  <c r="AG6" i="83"/>
  <c r="AR42" i="104"/>
  <c r="AQ42" i="104"/>
  <c r="AP42" i="104"/>
  <c r="AO42" i="104"/>
  <c r="AO74" i="104" s="1"/>
  <c r="AN42" i="104"/>
  <c r="AM42" i="104"/>
  <c r="AL42" i="104"/>
  <c r="AK42" i="104"/>
  <c r="AJ42" i="104"/>
  <c r="AI42" i="104"/>
  <c r="AH42" i="104"/>
  <c r="AG42" i="104"/>
  <c r="AF42" i="104"/>
  <c r="AE42" i="104"/>
  <c r="AD42" i="104"/>
  <c r="AC42" i="104"/>
  <c r="AB42" i="104"/>
  <c r="Z42" i="104"/>
  <c r="Y42" i="104"/>
  <c r="AR42" i="83"/>
  <c r="AP42" i="83"/>
  <c r="AM42" i="83"/>
  <c r="AL42" i="83"/>
  <c r="AG42" i="83"/>
  <c r="AD42" i="83"/>
  <c r="Z42" i="83"/>
  <c r="AR26" i="104"/>
  <c r="AQ26" i="104"/>
  <c r="AP26" i="104"/>
  <c r="AO26" i="104"/>
  <c r="AN26" i="104"/>
  <c r="AM26" i="104"/>
  <c r="AL26" i="104"/>
  <c r="AK26" i="104"/>
  <c r="AJ26" i="104"/>
  <c r="AI26" i="104"/>
  <c r="AH26" i="104"/>
  <c r="AG26" i="104"/>
  <c r="AF26" i="104"/>
  <c r="AR26" i="91"/>
  <c r="AP26" i="91"/>
  <c r="AM26" i="91"/>
  <c r="AS26" i="91" s="1"/>
  <c r="AL26" i="91"/>
  <c r="AJ26" i="91"/>
  <c r="AI26" i="91"/>
  <c r="AG26" i="91"/>
  <c r="AF26" i="91"/>
  <c r="AR26" i="83"/>
  <c r="AP26" i="83"/>
  <c r="AM26" i="83"/>
  <c r="AS26" i="83" s="1"/>
  <c r="AJ26" i="83"/>
  <c r="AG26" i="83"/>
  <c r="AR34" i="104"/>
  <c r="AQ34" i="104"/>
  <c r="AP34" i="104"/>
  <c r="AO34" i="104"/>
  <c r="AN34" i="104"/>
  <c r="AM34" i="104"/>
  <c r="AL34" i="104"/>
  <c r="AK34" i="104"/>
  <c r="AJ34" i="104"/>
  <c r="AI34" i="104"/>
  <c r="AH34" i="104"/>
  <c r="AG34" i="104"/>
  <c r="AF34" i="104"/>
  <c r="AE34" i="104"/>
  <c r="AD34" i="104"/>
  <c r="AC34" i="104"/>
  <c r="AB34" i="104"/>
  <c r="AA34" i="104"/>
  <c r="Z34" i="104"/>
  <c r="Y34" i="104"/>
  <c r="AR34" i="91"/>
  <c r="AP34" i="91"/>
  <c r="AM34" i="91"/>
  <c r="AS34" i="91" s="1"/>
  <c r="AL34" i="91"/>
  <c r="AJ34" i="91"/>
  <c r="AI34" i="91"/>
  <c r="AG34" i="91"/>
  <c r="AF34" i="91"/>
  <c r="AD34" i="91"/>
  <c r="AC34" i="91"/>
  <c r="Z34" i="91"/>
  <c r="AR34" i="83"/>
  <c r="AP34" i="83"/>
  <c r="AM34" i="83"/>
  <c r="AS34" i="83" s="1"/>
  <c r="AJ34" i="83"/>
  <c r="AG34" i="83"/>
  <c r="AF34" i="83"/>
  <c r="AD34" i="83"/>
  <c r="AM49" i="104"/>
  <c r="AJ49" i="104"/>
  <c r="AG57" i="104"/>
  <c r="AD6" i="104"/>
  <c r="AD26" i="104"/>
  <c r="AD49" i="104"/>
  <c r="AA49" i="104"/>
  <c r="AM49" i="91"/>
  <c r="AS49" i="91" s="1"/>
  <c r="AD26" i="91"/>
  <c r="AD49" i="91"/>
  <c r="AA49" i="91"/>
  <c r="AM49" i="83"/>
  <c r="AD6" i="83"/>
  <c r="AD26" i="83"/>
  <c r="AD49" i="83"/>
  <c r="AA49" i="83"/>
  <c r="AR57" i="104"/>
  <c r="AQ57" i="104"/>
  <c r="AQ74" i="104" s="1"/>
  <c r="AP57" i="104"/>
  <c r="AP74" i="104" s="1"/>
  <c r="AO57" i="104"/>
  <c r="AN57" i="104"/>
  <c r="AM57" i="104"/>
  <c r="AM74" i="104" s="1"/>
  <c r="AL57" i="104"/>
  <c r="AK57" i="104"/>
  <c r="AJ57" i="104"/>
  <c r="AI57" i="104"/>
  <c r="AI74" i="104" s="1"/>
  <c r="AH57" i="104"/>
  <c r="AH74" i="104" s="1"/>
  <c r="AF57" i="104"/>
  <c r="AE57" i="104"/>
  <c r="AD57" i="104"/>
  <c r="AD74" i="104" s="1"/>
  <c r="AC57" i="104"/>
  <c r="AC50" i="104" s="1"/>
  <c r="AB57" i="104"/>
  <c r="AB50" i="104" s="1"/>
  <c r="AB49" i="104" s="1"/>
  <c r="AA57" i="104"/>
  <c r="Z57" i="104"/>
  <c r="Y57" i="104"/>
  <c r="AP57" i="91"/>
  <c r="AN57" i="91"/>
  <c r="AM57" i="91"/>
  <c r="AS57" i="91" s="1"/>
  <c r="AI57" i="91"/>
  <c r="AC57" i="91"/>
  <c r="AA57" i="91"/>
  <c r="Z57" i="91"/>
  <c r="AP57" i="83"/>
  <c r="AJ57" i="83"/>
  <c r="AD57" i="83"/>
  <c r="AA57" i="83"/>
  <c r="AR49" i="104"/>
  <c r="AQ49" i="104"/>
  <c r="AP49" i="104"/>
  <c r="AO49" i="104"/>
  <c r="AN49" i="104"/>
  <c r="AL49" i="104"/>
  <c r="AL74" i="104" s="1"/>
  <c r="AK49" i="104"/>
  <c r="AI49" i="104"/>
  <c r="AH49" i="104"/>
  <c r="AF49" i="104"/>
  <c r="AF74" i="104" s="1"/>
  <c r="AE50" i="104"/>
  <c r="AE49" i="104"/>
  <c r="AE74" i="104" s="1"/>
  <c r="AC49" i="104"/>
  <c r="Y50" i="104"/>
  <c r="Y49" i="104"/>
  <c r="AP49" i="91"/>
  <c r="AP49" i="83"/>
  <c r="X57" i="104"/>
  <c r="X74" i="104" s="1"/>
  <c r="X57" i="83"/>
  <c r="X49" i="104"/>
  <c r="X49" i="91"/>
  <c r="X49" i="83"/>
  <c r="X42" i="104"/>
  <c r="X42" i="83"/>
  <c r="X34" i="104"/>
  <c r="X34" i="91"/>
  <c r="X34" i="83"/>
  <c r="M73" i="28"/>
  <c r="J55" i="28"/>
  <c r="K55" i="28" s="1"/>
  <c r="J52" i="28"/>
  <c r="K52" i="28" s="1"/>
  <c r="J38" i="28"/>
  <c r="K38" i="28" s="1"/>
  <c r="J35" i="28"/>
  <c r="J24" i="28"/>
  <c r="K24" i="28" s="1"/>
  <c r="J21" i="28"/>
  <c r="K21" i="28" s="1"/>
  <c r="J19" i="28"/>
  <c r="K19" i="28" s="1"/>
  <c r="S51" i="28"/>
  <c r="P54" i="28"/>
  <c r="Q54" i="28" s="1"/>
  <c r="P13" i="28"/>
  <c r="Q13" i="28" s="1"/>
  <c r="W49" i="28"/>
  <c r="V49" i="28"/>
  <c r="S50" i="28"/>
  <c r="S52" i="28"/>
  <c r="S53" i="28"/>
  <c r="S54" i="28"/>
  <c r="S55" i="28"/>
  <c r="S56" i="28"/>
  <c r="P50" i="28"/>
  <c r="P51" i="28"/>
  <c r="P52" i="28"/>
  <c r="P53" i="28"/>
  <c r="P55" i="28"/>
  <c r="P56" i="28"/>
  <c r="M50" i="28"/>
  <c r="M51" i="28"/>
  <c r="M52" i="28"/>
  <c r="M53" i="28"/>
  <c r="M54" i="28"/>
  <c r="M55" i="28"/>
  <c r="M56" i="28"/>
  <c r="L49" i="28"/>
  <c r="J50" i="28"/>
  <c r="J51" i="28"/>
  <c r="J53" i="28"/>
  <c r="J54" i="28"/>
  <c r="J56" i="28"/>
  <c r="J79" i="28" s="1"/>
  <c r="G50" i="28"/>
  <c r="G49" i="28" s="1"/>
  <c r="G51" i="28"/>
  <c r="G52" i="28"/>
  <c r="H52" i="28" s="1"/>
  <c r="G53" i="28"/>
  <c r="H53" i="28" s="1"/>
  <c r="G54" i="28"/>
  <c r="G55" i="28"/>
  <c r="G56" i="28"/>
  <c r="D50" i="28"/>
  <c r="D51" i="28"/>
  <c r="D52" i="28"/>
  <c r="E52" i="28" s="1"/>
  <c r="D53" i="28"/>
  <c r="D54" i="28"/>
  <c r="D55" i="28"/>
  <c r="E55" i="28" s="1"/>
  <c r="D56" i="28"/>
  <c r="V73" i="28"/>
  <c r="V57" i="28" s="1"/>
  <c r="P58" i="28"/>
  <c r="P59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57" i="28"/>
  <c r="M58" i="28"/>
  <c r="M57" i="28" s="1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7" i="28" s="1"/>
  <c r="G80" i="28" s="1"/>
  <c r="V20" i="28"/>
  <c r="V16" i="28"/>
  <c r="V35" i="28"/>
  <c r="V34" i="28"/>
  <c r="V44" i="28"/>
  <c r="V42" i="28"/>
  <c r="V26" i="28"/>
  <c r="S7" i="28"/>
  <c r="S8" i="28"/>
  <c r="S10" i="28"/>
  <c r="S11" i="28"/>
  <c r="S12" i="28"/>
  <c r="S14" i="28"/>
  <c r="S15" i="28"/>
  <c r="S18" i="28"/>
  <c r="S19" i="28"/>
  <c r="S21" i="28"/>
  <c r="S22" i="28"/>
  <c r="S23" i="28"/>
  <c r="S24" i="28"/>
  <c r="S27" i="28"/>
  <c r="S29" i="28"/>
  <c r="S30" i="28"/>
  <c r="S31" i="28"/>
  <c r="S33" i="28"/>
  <c r="S35" i="28"/>
  <c r="S36" i="28"/>
  <c r="S37" i="28"/>
  <c r="S38" i="28"/>
  <c r="S39" i="28"/>
  <c r="S40" i="28"/>
  <c r="S41" i="28"/>
  <c r="S43" i="28"/>
  <c r="S44" i="28"/>
  <c r="S45" i="28"/>
  <c r="S46" i="28"/>
  <c r="S47" i="28"/>
  <c r="S48" i="28"/>
  <c r="R34" i="28"/>
  <c r="P7" i="28"/>
  <c r="P6" i="28" s="1"/>
  <c r="P8" i="28"/>
  <c r="P9" i="28"/>
  <c r="P10" i="28"/>
  <c r="P12" i="28"/>
  <c r="P14" i="28"/>
  <c r="P15" i="28"/>
  <c r="P17" i="28"/>
  <c r="P18" i="28"/>
  <c r="P19" i="28"/>
  <c r="P20" i="28"/>
  <c r="P21" i="28"/>
  <c r="P22" i="28"/>
  <c r="P23" i="28"/>
  <c r="P24" i="28"/>
  <c r="P25" i="28"/>
  <c r="P27" i="28"/>
  <c r="P28" i="28"/>
  <c r="P29" i="28"/>
  <c r="P30" i="28"/>
  <c r="P31" i="28"/>
  <c r="P32" i="28"/>
  <c r="P33" i="28"/>
  <c r="P35" i="28"/>
  <c r="P36" i="28"/>
  <c r="P37" i="28"/>
  <c r="P38" i="28"/>
  <c r="P39" i="28"/>
  <c r="P40" i="28"/>
  <c r="P41" i="28"/>
  <c r="P43" i="28"/>
  <c r="P44" i="28"/>
  <c r="P45" i="28"/>
  <c r="P46" i="28"/>
  <c r="P48" i="28"/>
  <c r="M7" i="28"/>
  <c r="M8" i="28"/>
  <c r="M9" i="28"/>
  <c r="M10" i="28"/>
  <c r="M11" i="28"/>
  <c r="M12" i="28"/>
  <c r="M13" i="28"/>
  <c r="M14" i="28"/>
  <c r="N14" i="28" s="1"/>
  <c r="M15" i="28"/>
  <c r="M17" i="28"/>
  <c r="M18" i="28"/>
  <c r="M19" i="28"/>
  <c r="M20" i="28"/>
  <c r="M21" i="28"/>
  <c r="M22" i="28"/>
  <c r="M23" i="28"/>
  <c r="M24" i="28"/>
  <c r="M25" i="28"/>
  <c r="M16" i="28"/>
  <c r="M27" i="28"/>
  <c r="M28" i="28"/>
  <c r="M29" i="28"/>
  <c r="M30" i="28"/>
  <c r="M31" i="28"/>
  <c r="M32" i="28"/>
  <c r="M33" i="28"/>
  <c r="M26" i="28"/>
  <c r="N26" i="28" s="1"/>
  <c r="M35" i="28"/>
  <c r="M36" i="28"/>
  <c r="M37" i="28"/>
  <c r="M38" i="28"/>
  <c r="M39" i="28"/>
  <c r="M40" i="28"/>
  <c r="M41" i="28"/>
  <c r="M34" i="28"/>
  <c r="M43" i="28"/>
  <c r="M42" i="28" s="1"/>
  <c r="M44" i="28"/>
  <c r="M45" i="28"/>
  <c r="M46" i="28"/>
  <c r="M47" i="28"/>
  <c r="M48" i="28"/>
  <c r="L6" i="28"/>
  <c r="L16" i="28"/>
  <c r="L34" i="28"/>
  <c r="L26" i="28"/>
  <c r="J7" i="28"/>
  <c r="J8" i="28"/>
  <c r="J9" i="28"/>
  <c r="J10" i="28"/>
  <c r="J11" i="28"/>
  <c r="J12" i="28"/>
  <c r="J13" i="28"/>
  <c r="J14" i="28"/>
  <c r="K14" i="28" s="1"/>
  <c r="J15" i="28"/>
  <c r="J6" i="28"/>
  <c r="J17" i="28"/>
  <c r="J18" i="28"/>
  <c r="J20" i="28"/>
  <c r="J22" i="28"/>
  <c r="J23" i="28"/>
  <c r="J25" i="28"/>
  <c r="K25" i="28" s="1"/>
  <c r="J27" i="28"/>
  <c r="J28" i="28"/>
  <c r="J29" i="28"/>
  <c r="J30" i="28"/>
  <c r="J31" i="28"/>
  <c r="J32" i="28"/>
  <c r="K32" i="28" s="1"/>
  <c r="J33" i="28"/>
  <c r="J36" i="28"/>
  <c r="J37" i="28"/>
  <c r="J39" i="28"/>
  <c r="J40" i="28"/>
  <c r="J41" i="28"/>
  <c r="J43" i="28"/>
  <c r="J44" i="28"/>
  <c r="J45" i="28"/>
  <c r="J46" i="28"/>
  <c r="J47" i="28"/>
  <c r="J48" i="28"/>
  <c r="J42" i="28"/>
  <c r="K42" i="28" s="1"/>
  <c r="G7" i="28"/>
  <c r="G8" i="28"/>
  <c r="G9" i="28"/>
  <c r="G78" i="28" s="1"/>
  <c r="G10" i="28"/>
  <c r="G11" i="28"/>
  <c r="G12" i="28"/>
  <c r="G13" i="28"/>
  <c r="G14" i="28"/>
  <c r="G15" i="28"/>
  <c r="G17" i="28"/>
  <c r="G18" i="28"/>
  <c r="G19" i="28"/>
  <c r="G20" i="28"/>
  <c r="G21" i="28"/>
  <c r="G22" i="28"/>
  <c r="G23" i="28"/>
  <c r="G24" i="28"/>
  <c r="G25" i="28"/>
  <c r="G27" i="28"/>
  <c r="G26" i="28" s="1"/>
  <c r="H26" i="28" s="1"/>
  <c r="G28" i="28"/>
  <c r="G29" i="28"/>
  <c r="G30" i="28"/>
  <c r="G31" i="28"/>
  <c r="G32" i="28"/>
  <c r="G33" i="28"/>
  <c r="G35" i="28"/>
  <c r="G36" i="28"/>
  <c r="G37" i="28"/>
  <c r="G38" i="28"/>
  <c r="G39" i="28"/>
  <c r="G40" i="28"/>
  <c r="G41" i="28"/>
  <c r="G43" i="28"/>
  <c r="G44" i="28"/>
  <c r="G45" i="28"/>
  <c r="G46" i="28"/>
  <c r="G47" i="28"/>
  <c r="G48" i="28"/>
  <c r="G42" i="28"/>
  <c r="F26" i="28"/>
  <c r="F34" i="28"/>
  <c r="F16" i="28"/>
  <c r="D7" i="28"/>
  <c r="D8" i="28"/>
  <c r="D9" i="28"/>
  <c r="D10" i="28"/>
  <c r="D11" i="28"/>
  <c r="D12" i="28"/>
  <c r="D13" i="28"/>
  <c r="D14" i="28"/>
  <c r="D15" i="28"/>
  <c r="D17" i="28"/>
  <c r="D16" i="28" s="1"/>
  <c r="D18" i="28"/>
  <c r="D19" i="28"/>
  <c r="D20" i="28"/>
  <c r="D21" i="28"/>
  <c r="D22" i="28"/>
  <c r="D23" i="28"/>
  <c r="D24" i="28"/>
  <c r="D25" i="28"/>
  <c r="D27" i="28"/>
  <c r="D28" i="28"/>
  <c r="D29" i="28"/>
  <c r="D30" i="28"/>
  <c r="D31" i="28"/>
  <c r="D32" i="28"/>
  <c r="D33" i="28"/>
  <c r="D35" i="28"/>
  <c r="D36" i="28"/>
  <c r="D37" i="28"/>
  <c r="D38" i="28"/>
  <c r="D39" i="28"/>
  <c r="D40" i="28"/>
  <c r="D41" i="28"/>
  <c r="D43" i="28"/>
  <c r="D44" i="28"/>
  <c r="D45" i="28"/>
  <c r="D46" i="28"/>
  <c r="D47" i="28"/>
  <c r="D77" i="28" s="1"/>
  <c r="D80" i="28" s="1"/>
  <c r="D48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K33" i="28"/>
  <c r="C34" i="28"/>
  <c r="U58" i="104"/>
  <c r="R58" i="104"/>
  <c r="O57" i="104"/>
  <c r="L57" i="104"/>
  <c r="I57" i="104"/>
  <c r="F57" i="104"/>
  <c r="C57" i="104"/>
  <c r="C49" i="104"/>
  <c r="H50" i="28"/>
  <c r="H51" i="28"/>
  <c r="H55" i="28"/>
  <c r="E50" i="28"/>
  <c r="E53" i="28"/>
  <c r="W49" i="86"/>
  <c r="T51" i="86"/>
  <c r="T52" i="86"/>
  <c r="T53" i="86"/>
  <c r="T55" i="86"/>
  <c r="T56" i="86"/>
  <c r="Q50" i="86"/>
  <c r="Q51" i="86"/>
  <c r="Q52" i="86"/>
  <c r="Q53" i="86"/>
  <c r="Q54" i="86"/>
  <c r="Q55" i="86"/>
  <c r="Q56" i="86"/>
  <c r="N50" i="86"/>
  <c r="N51" i="86"/>
  <c r="N52" i="86"/>
  <c r="N53" i="86"/>
  <c r="N54" i="86"/>
  <c r="N55" i="86"/>
  <c r="N56" i="86"/>
  <c r="K50" i="86"/>
  <c r="K51" i="86"/>
  <c r="K52" i="86"/>
  <c r="K53" i="86"/>
  <c r="H50" i="86"/>
  <c r="H51" i="86"/>
  <c r="H52" i="86"/>
  <c r="H53" i="86"/>
  <c r="H55" i="86"/>
  <c r="H56" i="86"/>
  <c r="E50" i="86"/>
  <c r="E51" i="86"/>
  <c r="E52" i="86"/>
  <c r="E53" i="86"/>
  <c r="E55" i="86"/>
  <c r="E56" i="86"/>
  <c r="V49" i="91"/>
  <c r="T51" i="91"/>
  <c r="T52" i="91"/>
  <c r="T53" i="91"/>
  <c r="T56" i="91"/>
  <c r="T55" i="91"/>
  <c r="Q50" i="91"/>
  <c r="Q51" i="91"/>
  <c r="Q52" i="91"/>
  <c r="Q53" i="91"/>
  <c r="Q55" i="91"/>
  <c r="Q56" i="91"/>
  <c r="N50" i="91"/>
  <c r="N51" i="91"/>
  <c r="N52" i="91"/>
  <c r="N53" i="91"/>
  <c r="N54" i="91"/>
  <c r="N55" i="91"/>
  <c r="N56" i="91"/>
  <c r="K50" i="91"/>
  <c r="K51" i="91"/>
  <c r="K52" i="91"/>
  <c r="K53" i="91"/>
  <c r="K54" i="91"/>
  <c r="K55" i="91"/>
  <c r="K56" i="91"/>
  <c r="E50" i="91"/>
  <c r="E51" i="91"/>
  <c r="E52" i="91"/>
  <c r="E53" i="91"/>
  <c r="E55" i="91"/>
  <c r="E56" i="91"/>
  <c r="V49" i="83"/>
  <c r="T51" i="83"/>
  <c r="T52" i="83"/>
  <c r="T56" i="83"/>
  <c r="T53" i="83"/>
  <c r="T55" i="83"/>
  <c r="Q50" i="83"/>
  <c r="Q51" i="83"/>
  <c r="Q52" i="83"/>
  <c r="Q53" i="83"/>
  <c r="Q55" i="83"/>
  <c r="Q56" i="83"/>
  <c r="Q49" i="83"/>
  <c r="N50" i="83"/>
  <c r="N51" i="83"/>
  <c r="N52" i="83"/>
  <c r="N53" i="83"/>
  <c r="N54" i="83"/>
  <c r="N56" i="83"/>
  <c r="N55" i="83"/>
  <c r="K50" i="83"/>
  <c r="K51" i="83"/>
  <c r="K52" i="83"/>
  <c r="K53" i="83"/>
  <c r="K55" i="83"/>
  <c r="K56" i="83"/>
  <c r="E50" i="83"/>
  <c r="E51" i="83"/>
  <c r="E52" i="83"/>
  <c r="E53" i="83"/>
  <c r="E55" i="83"/>
  <c r="E56" i="83"/>
  <c r="W49" i="104"/>
  <c r="T49" i="104"/>
  <c r="Q49" i="104"/>
  <c r="N49" i="104"/>
  <c r="K49" i="104"/>
  <c r="H49" i="104"/>
  <c r="E49" i="104"/>
  <c r="R43" i="104"/>
  <c r="R45" i="104"/>
  <c r="R46" i="104"/>
  <c r="R48" i="104"/>
  <c r="O42" i="104"/>
  <c r="L42" i="104"/>
  <c r="I42" i="104"/>
  <c r="F42" i="104"/>
  <c r="R40" i="104"/>
  <c r="R41" i="104"/>
  <c r="O34" i="104"/>
  <c r="L34" i="104"/>
  <c r="I34" i="104"/>
  <c r="F34" i="104"/>
  <c r="N73" i="91"/>
  <c r="H52" i="91"/>
  <c r="H52" i="83"/>
  <c r="C42" i="104"/>
  <c r="C34" i="104"/>
  <c r="AC26" i="91"/>
  <c r="Z26" i="91"/>
  <c r="X26" i="91"/>
  <c r="Z26" i="83"/>
  <c r="X26" i="83"/>
  <c r="AE26" i="104"/>
  <c r="AC26" i="104"/>
  <c r="AB26" i="104"/>
  <c r="AA26" i="104"/>
  <c r="Z26" i="104"/>
  <c r="Y26" i="104"/>
  <c r="X26" i="104"/>
  <c r="V26" i="91"/>
  <c r="AQ27" i="91"/>
  <c r="AQ28" i="91"/>
  <c r="AQ29" i="91"/>
  <c r="AQ30" i="91"/>
  <c r="AQ31" i="91"/>
  <c r="U31" i="91" s="1"/>
  <c r="AQ32" i="91"/>
  <c r="AQ33" i="91"/>
  <c r="V26" i="83"/>
  <c r="AQ27" i="83"/>
  <c r="AQ28" i="83"/>
  <c r="U28" i="83" s="1"/>
  <c r="AQ29" i="83"/>
  <c r="U29" i="83" s="1"/>
  <c r="AQ30" i="83"/>
  <c r="U30" i="83" s="1"/>
  <c r="AQ31" i="83"/>
  <c r="U31" i="83" s="1"/>
  <c r="AQ32" i="83"/>
  <c r="U32" i="83" s="1"/>
  <c r="AQ33" i="83"/>
  <c r="U33" i="83" s="1"/>
  <c r="V26" i="104"/>
  <c r="U27" i="104"/>
  <c r="U28" i="104"/>
  <c r="U29" i="104"/>
  <c r="U30" i="104"/>
  <c r="U31" i="104"/>
  <c r="U32" i="104"/>
  <c r="U33" i="104"/>
  <c r="R27" i="104"/>
  <c r="R28" i="104"/>
  <c r="R29" i="104"/>
  <c r="R30" i="104"/>
  <c r="R31" i="104"/>
  <c r="R32" i="104"/>
  <c r="R33" i="104"/>
  <c r="O26" i="104"/>
  <c r="L26" i="104"/>
  <c r="I26" i="104"/>
  <c r="F26" i="104"/>
  <c r="C26" i="104"/>
  <c r="AE8" i="91"/>
  <c r="I8" i="91" s="1"/>
  <c r="AE9" i="91"/>
  <c r="AE10" i="91"/>
  <c r="AE11" i="91"/>
  <c r="AE12" i="91"/>
  <c r="I12" i="91" s="1"/>
  <c r="AC6" i="91"/>
  <c r="AB7" i="91"/>
  <c r="AA6" i="91"/>
  <c r="X6" i="91"/>
  <c r="AE7" i="83"/>
  <c r="AB7" i="83"/>
  <c r="AA6" i="83"/>
  <c r="AA74" i="83" s="1"/>
  <c r="X6" i="83"/>
  <c r="AE6" i="104"/>
  <c r="AC6" i="104"/>
  <c r="AB6" i="104"/>
  <c r="AA6" i="104"/>
  <c r="Z6" i="104"/>
  <c r="Y6" i="104"/>
  <c r="X6" i="104"/>
  <c r="X16" i="91"/>
  <c r="X16" i="83"/>
  <c r="X16" i="104"/>
  <c r="AQ17" i="91"/>
  <c r="AQ18" i="91"/>
  <c r="AQ19" i="91"/>
  <c r="AQ21" i="91"/>
  <c r="AQ22" i="91"/>
  <c r="AQ23" i="91"/>
  <c r="AQ24" i="91"/>
  <c r="AQ18" i="83"/>
  <c r="U18" i="83" s="1"/>
  <c r="AQ19" i="83"/>
  <c r="U19" i="83" s="1"/>
  <c r="AQ21" i="83"/>
  <c r="U21" i="83" s="1"/>
  <c r="AQ22" i="83"/>
  <c r="U22" i="83" s="1"/>
  <c r="AQ23" i="83"/>
  <c r="U23" i="83" s="1"/>
  <c r="AQ24" i="83"/>
  <c r="U24" i="83" s="1"/>
  <c r="U17" i="104"/>
  <c r="U18" i="104"/>
  <c r="U19" i="104"/>
  <c r="U20" i="104"/>
  <c r="U21" i="104"/>
  <c r="U22" i="104"/>
  <c r="U23" i="104"/>
  <c r="U24" i="104"/>
  <c r="R18" i="104"/>
  <c r="R19" i="104"/>
  <c r="R20" i="104"/>
  <c r="R21" i="104"/>
  <c r="R22" i="104"/>
  <c r="R23" i="104"/>
  <c r="R24" i="104"/>
  <c r="O16" i="104"/>
  <c r="L16" i="104"/>
  <c r="I16" i="104"/>
  <c r="I74" i="104" s="1"/>
  <c r="F16" i="104"/>
  <c r="C16" i="104"/>
  <c r="AQ7" i="91"/>
  <c r="AQ8" i="91"/>
  <c r="AQ9" i="91"/>
  <c r="AQ10" i="91"/>
  <c r="AQ11" i="91"/>
  <c r="AQ12" i="91"/>
  <c r="V6" i="83"/>
  <c r="AQ7" i="83"/>
  <c r="U7" i="83" s="1"/>
  <c r="AQ8" i="83"/>
  <c r="U8" i="83" s="1"/>
  <c r="AQ9" i="83"/>
  <c r="U9" i="83" s="1"/>
  <c r="AQ10" i="83"/>
  <c r="U10" i="83" s="1"/>
  <c r="AQ11" i="83"/>
  <c r="U11" i="83" s="1"/>
  <c r="AQ12" i="83"/>
  <c r="U12" i="83" s="1"/>
  <c r="U7" i="104"/>
  <c r="U8" i="104"/>
  <c r="U9" i="104"/>
  <c r="U10" i="104"/>
  <c r="U11" i="104"/>
  <c r="U12" i="104"/>
  <c r="U13" i="104"/>
  <c r="U14" i="104"/>
  <c r="U15" i="104"/>
  <c r="R7" i="104"/>
  <c r="R8" i="104"/>
  <c r="R9" i="104"/>
  <c r="R10" i="104"/>
  <c r="R11" i="104"/>
  <c r="R12" i="104"/>
  <c r="R13" i="104"/>
  <c r="R15" i="104"/>
  <c r="AK12" i="91"/>
  <c r="O6" i="104"/>
  <c r="O74" i="104" s="1"/>
  <c r="AG11" i="83"/>
  <c r="L6" i="104"/>
  <c r="I6" i="104"/>
  <c r="F6" i="104"/>
  <c r="C6" i="104"/>
  <c r="Q25" i="86"/>
  <c r="N25" i="86"/>
  <c r="K25" i="86"/>
  <c r="H25" i="86"/>
  <c r="E25" i="86"/>
  <c r="T25" i="91"/>
  <c r="Q25" i="91"/>
  <c r="N25" i="91"/>
  <c r="K25" i="91"/>
  <c r="H25" i="91"/>
  <c r="E25" i="91"/>
  <c r="T25" i="83"/>
  <c r="Q25" i="83"/>
  <c r="N25" i="83"/>
  <c r="K25" i="83"/>
  <c r="H25" i="83"/>
  <c r="E25" i="83"/>
  <c r="AE58" i="91"/>
  <c r="AP44" i="91"/>
  <c r="AP42" i="91" s="1"/>
  <c r="AP44" i="83"/>
  <c r="AR73" i="91"/>
  <c r="AR73" i="83"/>
  <c r="AC34" i="28"/>
  <c r="AB26" i="28"/>
  <c r="AB49" i="28"/>
  <c r="AB16" i="28"/>
  <c r="AB34" i="28"/>
  <c r="AA26" i="28"/>
  <c r="AA34" i="28"/>
  <c r="AA49" i="28"/>
  <c r="AI70" i="83"/>
  <c r="AH70" i="83" s="1"/>
  <c r="AA6" i="28"/>
  <c r="AA16" i="28"/>
  <c r="Z26" i="28"/>
  <c r="Z34" i="28"/>
  <c r="Z42" i="28"/>
  <c r="Z49" i="28"/>
  <c r="AE59" i="91"/>
  <c r="AF59" i="83"/>
  <c r="AE59" i="83" s="1"/>
  <c r="I59" i="83" s="1"/>
  <c r="AE61" i="91"/>
  <c r="AF61" i="83"/>
  <c r="AE62" i="91"/>
  <c r="I62" i="91" s="1"/>
  <c r="AE63" i="91"/>
  <c r="AE64" i="91"/>
  <c r="I64" i="91" s="1"/>
  <c r="AE65" i="91"/>
  <c r="AE66" i="91"/>
  <c r="I66" i="91" s="1"/>
  <c r="AE67" i="91"/>
  <c r="AE68" i="91"/>
  <c r="I68" i="91" s="1"/>
  <c r="AE69" i="91"/>
  <c r="AE70" i="91"/>
  <c r="I70" i="91" s="1"/>
  <c r="AF70" i="83"/>
  <c r="AE70" i="83" s="1"/>
  <c r="I70" i="83" s="1"/>
  <c r="AE71" i="91"/>
  <c r="I71" i="91" s="1"/>
  <c r="AE72" i="91"/>
  <c r="Z16" i="28"/>
  <c r="Y16" i="28"/>
  <c r="Y26" i="28"/>
  <c r="Y34" i="28"/>
  <c r="X34" i="28"/>
  <c r="U35" i="104"/>
  <c r="U36" i="104"/>
  <c r="U37" i="104"/>
  <c r="U38" i="104"/>
  <c r="U39" i="104"/>
  <c r="U40" i="104"/>
  <c r="U41" i="104"/>
  <c r="U54" i="104"/>
  <c r="U55" i="104"/>
  <c r="U56" i="104"/>
  <c r="AQ36" i="91"/>
  <c r="AQ37" i="91"/>
  <c r="AQ38" i="91"/>
  <c r="AQ39" i="91"/>
  <c r="AQ40" i="91"/>
  <c r="AQ41" i="91"/>
  <c r="AQ53" i="91"/>
  <c r="AQ54" i="91"/>
  <c r="AQ55" i="91"/>
  <c r="AQ56" i="91"/>
  <c r="AQ58" i="91"/>
  <c r="AQ36" i="83"/>
  <c r="AQ37" i="83"/>
  <c r="U37" i="83" s="1"/>
  <c r="AQ38" i="83"/>
  <c r="U38" i="83" s="1"/>
  <c r="AQ39" i="83"/>
  <c r="U39" i="83" s="1"/>
  <c r="AQ40" i="83"/>
  <c r="U40" i="83" s="1"/>
  <c r="AQ41" i="83"/>
  <c r="U41" i="83" s="1"/>
  <c r="AQ53" i="83"/>
  <c r="U53" i="83" s="1"/>
  <c r="AQ54" i="83"/>
  <c r="U54" i="83" s="1"/>
  <c r="AQ55" i="83"/>
  <c r="U55" i="83" s="1"/>
  <c r="AQ56" i="83"/>
  <c r="U56" i="83" s="1"/>
  <c r="AQ58" i="83"/>
  <c r="R54" i="104"/>
  <c r="R55" i="104"/>
  <c r="R56" i="104"/>
  <c r="R35" i="104"/>
  <c r="R36" i="104"/>
  <c r="R37" i="104"/>
  <c r="R38" i="104"/>
  <c r="R34" i="104" s="1"/>
  <c r="R39" i="104"/>
  <c r="L74" i="104"/>
  <c r="H51" i="91"/>
  <c r="H51" i="83"/>
  <c r="K51" i="28"/>
  <c r="Q50" i="28"/>
  <c r="N50" i="28"/>
  <c r="U48" i="104"/>
  <c r="T48" i="86"/>
  <c r="T48" i="91"/>
  <c r="T48" i="83"/>
  <c r="T48" i="28"/>
  <c r="T27" i="86"/>
  <c r="T29" i="86"/>
  <c r="T30" i="86"/>
  <c r="T33" i="86"/>
  <c r="T35" i="86"/>
  <c r="T36" i="86"/>
  <c r="T37" i="86"/>
  <c r="T38" i="86"/>
  <c r="T39" i="86"/>
  <c r="T40" i="86"/>
  <c r="T41" i="86"/>
  <c r="Q27" i="86"/>
  <c r="Q28" i="86"/>
  <c r="Q29" i="86"/>
  <c r="Q30" i="86"/>
  <c r="Q31" i="86"/>
  <c r="Q32" i="86"/>
  <c r="Q33" i="86"/>
  <c r="Q35" i="86"/>
  <c r="Q36" i="86"/>
  <c r="Q37" i="86"/>
  <c r="Q38" i="86"/>
  <c r="Q39" i="86"/>
  <c r="Q40" i="86"/>
  <c r="Q41" i="86"/>
  <c r="N27" i="86"/>
  <c r="N28" i="86"/>
  <c r="N29" i="86"/>
  <c r="N30" i="86"/>
  <c r="N31" i="86"/>
  <c r="N32" i="86"/>
  <c r="N33" i="86"/>
  <c r="N35" i="86"/>
  <c r="N36" i="86"/>
  <c r="N37" i="86"/>
  <c r="N38" i="86"/>
  <c r="N39" i="86"/>
  <c r="N40" i="86"/>
  <c r="N41" i="86"/>
  <c r="K27" i="86"/>
  <c r="K28" i="86"/>
  <c r="K29" i="86"/>
  <c r="K30" i="86"/>
  <c r="K31" i="86"/>
  <c r="K32" i="86"/>
  <c r="K36" i="86"/>
  <c r="K37" i="86"/>
  <c r="K39" i="86"/>
  <c r="K41" i="86"/>
  <c r="H27" i="86"/>
  <c r="H28" i="86"/>
  <c r="H29" i="86"/>
  <c r="H30" i="86"/>
  <c r="H32" i="86"/>
  <c r="H33" i="86"/>
  <c r="H35" i="86"/>
  <c r="H36" i="86"/>
  <c r="H37" i="86"/>
  <c r="H38" i="86"/>
  <c r="H39" i="86"/>
  <c r="H40" i="86"/>
  <c r="H41" i="86"/>
  <c r="E27" i="86"/>
  <c r="E28" i="86"/>
  <c r="E29" i="86"/>
  <c r="E30" i="86"/>
  <c r="E32" i="86"/>
  <c r="E33" i="86"/>
  <c r="E35" i="86"/>
  <c r="E36" i="86"/>
  <c r="E37" i="86"/>
  <c r="E39" i="86"/>
  <c r="E40" i="86"/>
  <c r="E41" i="86"/>
  <c r="T27" i="91"/>
  <c r="T28" i="91"/>
  <c r="T29" i="91"/>
  <c r="T30" i="91"/>
  <c r="T32" i="91"/>
  <c r="T33" i="91"/>
  <c r="T35" i="91"/>
  <c r="T36" i="91"/>
  <c r="T37" i="91"/>
  <c r="T38" i="91"/>
  <c r="T39" i="91"/>
  <c r="T40" i="91"/>
  <c r="T41" i="91"/>
  <c r="Q27" i="91"/>
  <c r="Q28" i="91"/>
  <c r="Q29" i="91"/>
  <c r="Q30" i="91"/>
  <c r="Q31" i="91"/>
  <c r="Q32" i="91"/>
  <c r="Q33" i="91"/>
  <c r="Q35" i="91"/>
  <c r="Q36" i="91"/>
  <c r="Q37" i="91"/>
  <c r="Q38" i="91"/>
  <c r="Q39" i="91"/>
  <c r="Q40" i="91"/>
  <c r="Q41" i="91"/>
  <c r="N27" i="91"/>
  <c r="N28" i="91"/>
  <c r="N29" i="91"/>
  <c r="N30" i="91"/>
  <c r="N31" i="91"/>
  <c r="N32" i="91"/>
  <c r="N33" i="91"/>
  <c r="N35" i="91"/>
  <c r="N36" i="91"/>
  <c r="N37" i="91"/>
  <c r="N38" i="91"/>
  <c r="N39" i="91"/>
  <c r="N40" i="91"/>
  <c r="N41" i="91"/>
  <c r="K27" i="91"/>
  <c r="K28" i="91"/>
  <c r="K29" i="91"/>
  <c r="K30" i="91"/>
  <c r="K31" i="91"/>
  <c r="K32" i="91"/>
  <c r="K36" i="91"/>
  <c r="K37" i="91"/>
  <c r="K38" i="91"/>
  <c r="H27" i="91"/>
  <c r="H28" i="91"/>
  <c r="H29" i="91"/>
  <c r="H30" i="91"/>
  <c r="H31" i="91"/>
  <c r="H32" i="91"/>
  <c r="H33" i="91"/>
  <c r="H35" i="91"/>
  <c r="H36" i="91"/>
  <c r="H37" i="91"/>
  <c r="H38" i="91"/>
  <c r="H39" i="91"/>
  <c r="H40" i="91"/>
  <c r="H41" i="91"/>
  <c r="E27" i="91"/>
  <c r="E28" i="91"/>
  <c r="E29" i="91"/>
  <c r="E30" i="91"/>
  <c r="E32" i="91"/>
  <c r="E33" i="91"/>
  <c r="E35" i="91"/>
  <c r="E36" i="91"/>
  <c r="E37" i="91"/>
  <c r="E38" i="91"/>
  <c r="E39" i="91"/>
  <c r="E40" i="91"/>
  <c r="E41" i="91"/>
  <c r="W35" i="83"/>
  <c r="T27" i="83"/>
  <c r="T28" i="83"/>
  <c r="T29" i="83"/>
  <c r="T30" i="83"/>
  <c r="T32" i="83"/>
  <c r="T33" i="83"/>
  <c r="T35" i="83"/>
  <c r="T36" i="83"/>
  <c r="T37" i="83"/>
  <c r="T38" i="83"/>
  <c r="T39" i="83"/>
  <c r="T40" i="83"/>
  <c r="T41" i="83"/>
  <c r="Q27" i="83"/>
  <c r="Q28" i="83"/>
  <c r="Q29" i="83"/>
  <c r="Q30" i="83"/>
  <c r="Q31" i="83"/>
  <c r="Q32" i="83"/>
  <c r="Q33" i="83"/>
  <c r="Q35" i="83"/>
  <c r="Q36" i="83"/>
  <c r="Q37" i="83"/>
  <c r="Q38" i="83"/>
  <c r="Q39" i="83"/>
  <c r="Q40" i="83"/>
  <c r="Q41" i="83"/>
  <c r="N27" i="83"/>
  <c r="N28" i="83"/>
  <c r="N29" i="83"/>
  <c r="N30" i="83"/>
  <c r="N31" i="83"/>
  <c r="N32" i="83"/>
  <c r="N33" i="83"/>
  <c r="N35" i="83"/>
  <c r="N36" i="83"/>
  <c r="N37" i="83"/>
  <c r="N38" i="83"/>
  <c r="N39" i="83"/>
  <c r="N40" i="83"/>
  <c r="N41" i="83"/>
  <c r="K27" i="83"/>
  <c r="K29" i="83"/>
  <c r="K30" i="83"/>
  <c r="K31" i="83"/>
  <c r="K32" i="83"/>
  <c r="K36" i="83"/>
  <c r="K37" i="83"/>
  <c r="K38" i="83"/>
  <c r="H27" i="83"/>
  <c r="H29" i="83"/>
  <c r="H30" i="83"/>
  <c r="H31" i="83"/>
  <c r="H33" i="83"/>
  <c r="H35" i="83"/>
  <c r="H36" i="83"/>
  <c r="H37" i="83"/>
  <c r="H38" i="83"/>
  <c r="H39" i="83"/>
  <c r="H40" i="83"/>
  <c r="H41" i="83"/>
  <c r="E27" i="83"/>
  <c r="E28" i="83"/>
  <c r="E29" i="83"/>
  <c r="E30" i="83"/>
  <c r="E33" i="83"/>
  <c r="E35" i="83"/>
  <c r="E36" i="83"/>
  <c r="E37" i="83"/>
  <c r="E38" i="83"/>
  <c r="E39" i="83"/>
  <c r="E40" i="83"/>
  <c r="E41" i="83"/>
  <c r="N25" i="28"/>
  <c r="H25" i="28"/>
  <c r="E25" i="28"/>
  <c r="V6" i="28"/>
  <c r="V74" i="28" s="1"/>
  <c r="N15" i="86"/>
  <c r="N15" i="28"/>
  <c r="Q14" i="86"/>
  <c r="N14" i="86"/>
  <c r="K14" i="86"/>
  <c r="E14" i="86"/>
  <c r="Q14" i="91"/>
  <c r="N14" i="91"/>
  <c r="K14" i="91"/>
  <c r="E14" i="91"/>
  <c r="Q14" i="83"/>
  <c r="N14" i="83"/>
  <c r="K14" i="83"/>
  <c r="E14" i="83"/>
  <c r="Q14" i="28"/>
  <c r="E14" i="28"/>
  <c r="AL70" i="83"/>
  <c r="AL61" i="83"/>
  <c r="AL60" i="83"/>
  <c r="AL59" i="83"/>
  <c r="AG61" i="91"/>
  <c r="AG61" i="83"/>
  <c r="AI61" i="83"/>
  <c r="W73" i="91"/>
  <c r="AR59" i="91"/>
  <c r="AR57" i="91" s="1"/>
  <c r="AQ59" i="91"/>
  <c r="AR60" i="91"/>
  <c r="AQ60" i="91"/>
  <c r="AR61" i="91"/>
  <c r="AQ61" i="91"/>
  <c r="AQ62" i="91"/>
  <c r="AQ63" i="91"/>
  <c r="AQ64" i="91"/>
  <c r="AQ65" i="91"/>
  <c r="AQ66" i="91"/>
  <c r="AQ67" i="91"/>
  <c r="AQ68" i="91"/>
  <c r="AQ69" i="91"/>
  <c r="AR70" i="91"/>
  <c r="AQ70" i="91"/>
  <c r="AQ71" i="91"/>
  <c r="AQ72" i="91"/>
  <c r="W20" i="91"/>
  <c r="AQ72" i="83"/>
  <c r="U72" i="83" s="1"/>
  <c r="AQ71" i="83"/>
  <c r="U71" i="83" s="1"/>
  <c r="AR70" i="83"/>
  <c r="AQ70" i="83" s="1"/>
  <c r="U70" i="83" s="1"/>
  <c r="AQ69" i="83"/>
  <c r="U69" i="83" s="1"/>
  <c r="AQ68" i="83"/>
  <c r="U68" i="83" s="1"/>
  <c r="AQ67" i="83"/>
  <c r="U67" i="83" s="1"/>
  <c r="AQ66" i="83"/>
  <c r="U66" i="83" s="1"/>
  <c r="AQ65" i="83"/>
  <c r="U65" i="83" s="1"/>
  <c r="AQ64" i="83"/>
  <c r="U64" i="83" s="1"/>
  <c r="AQ63" i="83"/>
  <c r="U63" i="83" s="1"/>
  <c r="AQ62" i="83"/>
  <c r="U62" i="83" s="1"/>
  <c r="AR61" i="83"/>
  <c r="AQ61" i="83" s="1"/>
  <c r="U61" i="83" s="1"/>
  <c r="AR60" i="83"/>
  <c r="AQ60" i="83" s="1"/>
  <c r="U60" i="83" s="1"/>
  <c r="AR59" i="83"/>
  <c r="AQ47" i="83"/>
  <c r="U47" i="83" s="1"/>
  <c r="AQ46" i="83"/>
  <c r="U46" i="83" s="1"/>
  <c r="AQ45" i="83"/>
  <c r="U45" i="83" s="1"/>
  <c r="AQ43" i="83"/>
  <c r="AQ47" i="91"/>
  <c r="AQ46" i="91"/>
  <c r="AQ45" i="91"/>
  <c r="AQ43" i="91"/>
  <c r="AI73" i="83"/>
  <c r="AG60" i="83"/>
  <c r="AI60" i="83"/>
  <c r="AG59" i="83"/>
  <c r="AG57" i="83" s="1"/>
  <c r="AI59" i="83"/>
  <c r="AI57" i="83" s="1"/>
  <c r="AG60" i="91"/>
  <c r="AG59" i="91"/>
  <c r="AG57" i="91" s="1"/>
  <c r="W73" i="83"/>
  <c r="Q58" i="83"/>
  <c r="Q59" i="83"/>
  <c r="Q60" i="83"/>
  <c r="Q61" i="83"/>
  <c r="Q71" i="83"/>
  <c r="Q72" i="83"/>
  <c r="N58" i="83"/>
  <c r="N62" i="83"/>
  <c r="N63" i="83"/>
  <c r="N64" i="83"/>
  <c r="N65" i="83"/>
  <c r="N66" i="83"/>
  <c r="H58" i="83"/>
  <c r="H72" i="83"/>
  <c r="E73" i="83"/>
  <c r="E58" i="83"/>
  <c r="Q58" i="91"/>
  <c r="Q59" i="91"/>
  <c r="Q60" i="91"/>
  <c r="Q61" i="91"/>
  <c r="Q71" i="91"/>
  <c r="Q72" i="91"/>
  <c r="N58" i="91"/>
  <c r="N62" i="91"/>
  <c r="N63" i="91"/>
  <c r="N64" i="91"/>
  <c r="N65" i="91"/>
  <c r="N67" i="91"/>
  <c r="N68" i="91"/>
  <c r="N69" i="91"/>
  <c r="N71" i="91"/>
  <c r="N72" i="91"/>
  <c r="H58" i="91"/>
  <c r="E58" i="91"/>
  <c r="E73" i="91"/>
  <c r="Q61" i="86"/>
  <c r="Q58" i="86"/>
  <c r="Q71" i="86"/>
  <c r="Q72" i="86"/>
  <c r="N62" i="86"/>
  <c r="N63" i="86"/>
  <c r="N64" i="86"/>
  <c r="N65" i="86"/>
  <c r="N58" i="86"/>
  <c r="N67" i="86"/>
  <c r="N68" i="86"/>
  <c r="N69" i="86"/>
  <c r="N71" i="86"/>
  <c r="N72" i="86"/>
  <c r="H61" i="86"/>
  <c r="H58" i="86"/>
  <c r="H71" i="86"/>
  <c r="H72" i="86"/>
  <c r="E58" i="86"/>
  <c r="E73" i="86"/>
  <c r="B16" i="56"/>
  <c r="B16" i="1"/>
  <c r="B16" i="58"/>
  <c r="B16" i="68"/>
  <c r="B16" i="67"/>
  <c r="B16" i="5"/>
  <c r="B16" i="10"/>
  <c r="B16" i="75"/>
  <c r="Q61" i="28"/>
  <c r="N61" i="28"/>
  <c r="K46" i="86"/>
  <c r="K45" i="86"/>
  <c r="K44" i="86"/>
  <c r="K23" i="86"/>
  <c r="K22" i="86"/>
  <c r="K20" i="86"/>
  <c r="K18" i="86"/>
  <c r="K17" i="86"/>
  <c r="K16" i="86"/>
  <c r="W73" i="86"/>
  <c r="K47" i="91"/>
  <c r="K46" i="91"/>
  <c r="K45" i="91"/>
  <c r="K44" i="91"/>
  <c r="K43" i="91"/>
  <c r="K41" i="91"/>
  <c r="K40" i="91"/>
  <c r="K39" i="91"/>
  <c r="K24" i="91"/>
  <c r="K23" i="91"/>
  <c r="K22" i="91"/>
  <c r="K21" i="91"/>
  <c r="K20" i="91"/>
  <c r="K19" i="91"/>
  <c r="K18" i="91"/>
  <c r="K46" i="83"/>
  <c r="K45" i="83"/>
  <c r="K44" i="83"/>
  <c r="K41" i="83"/>
  <c r="K40" i="83"/>
  <c r="K39" i="83"/>
  <c r="K24" i="83"/>
  <c r="K23" i="83"/>
  <c r="K22" i="83"/>
  <c r="K21" i="83"/>
  <c r="K20" i="83"/>
  <c r="K18" i="83"/>
  <c r="E45" i="91"/>
  <c r="E44" i="91"/>
  <c r="E43" i="91"/>
  <c r="E24" i="91"/>
  <c r="E23" i="91"/>
  <c r="E22" i="91"/>
  <c r="E21" i="91"/>
  <c r="E20" i="91"/>
  <c r="E18" i="91"/>
  <c r="E17" i="91"/>
  <c r="E45" i="83"/>
  <c r="E44" i="83"/>
  <c r="E43" i="83"/>
  <c r="E24" i="83"/>
  <c r="E23" i="83"/>
  <c r="E22" i="83"/>
  <c r="E21" i="83"/>
  <c r="E20" i="83"/>
  <c r="E18" i="83"/>
  <c r="E17" i="83"/>
  <c r="E45" i="86"/>
  <c r="E44" i="86"/>
  <c r="E43" i="86"/>
  <c r="E24" i="86"/>
  <c r="E23" i="86"/>
  <c r="E22" i="86"/>
  <c r="E20" i="86"/>
  <c r="E18" i="86"/>
  <c r="E17" i="86"/>
  <c r="E11" i="91"/>
  <c r="E10" i="91"/>
  <c r="E9" i="91"/>
  <c r="E8" i="91"/>
  <c r="E11" i="83"/>
  <c r="E10" i="83"/>
  <c r="E9" i="83"/>
  <c r="E8" i="83"/>
  <c r="E11" i="86"/>
  <c r="E10" i="86"/>
  <c r="E9" i="86"/>
  <c r="E8" i="86"/>
  <c r="W44" i="83"/>
  <c r="U59" i="104"/>
  <c r="U60" i="104"/>
  <c r="U61" i="104"/>
  <c r="U62" i="104"/>
  <c r="U63" i="104"/>
  <c r="U64" i="104"/>
  <c r="U65" i="104"/>
  <c r="U66" i="104"/>
  <c r="U67" i="104"/>
  <c r="U68" i="104"/>
  <c r="U69" i="104"/>
  <c r="U70" i="104"/>
  <c r="U71" i="104"/>
  <c r="U72" i="104"/>
  <c r="U43" i="104"/>
  <c r="U44" i="104"/>
  <c r="U46" i="104"/>
  <c r="U47" i="104"/>
  <c r="R59" i="104"/>
  <c r="R61" i="104"/>
  <c r="R62" i="104"/>
  <c r="R63" i="104"/>
  <c r="R64" i="104"/>
  <c r="R65" i="104"/>
  <c r="R66" i="104"/>
  <c r="R67" i="104"/>
  <c r="R68" i="104"/>
  <c r="R69" i="104"/>
  <c r="R70" i="104"/>
  <c r="R71" i="104"/>
  <c r="R72" i="104"/>
  <c r="R47" i="104"/>
  <c r="R42" i="104" s="1"/>
  <c r="U73" i="104"/>
  <c r="R73" i="104"/>
  <c r="Z17" i="48"/>
  <c r="Z18" i="48"/>
  <c r="Z19" i="48"/>
  <c r="Z20" i="48" s="1"/>
  <c r="Z17" i="62"/>
  <c r="Z18" i="62"/>
  <c r="Z19" i="62"/>
  <c r="Z20" i="62" s="1"/>
  <c r="V17" i="6"/>
  <c r="V18" i="6"/>
  <c r="V19" i="6"/>
  <c r="V20" i="6" s="1"/>
  <c r="N17" i="24"/>
  <c r="N18" i="24"/>
  <c r="N19" i="24"/>
  <c r="N20" i="24" s="1"/>
  <c r="N17" i="60"/>
  <c r="N18" i="60"/>
  <c r="N19" i="60"/>
  <c r="N20" i="60" s="1"/>
  <c r="N17" i="8"/>
  <c r="N18" i="8"/>
  <c r="N19" i="8"/>
  <c r="N20" i="8" s="1"/>
  <c r="N17" i="72"/>
  <c r="N18" i="72"/>
  <c r="N19" i="72"/>
  <c r="N20" i="72" s="1"/>
  <c r="N17" i="66"/>
  <c r="N18" i="66"/>
  <c r="N19" i="66"/>
  <c r="N20" i="66" s="1"/>
  <c r="J17" i="11"/>
  <c r="J18" i="11"/>
  <c r="J19" i="11"/>
  <c r="J20" i="11" s="1"/>
  <c r="N17" i="9"/>
  <c r="N18" i="9"/>
  <c r="N19" i="9"/>
  <c r="N20" i="9" s="1"/>
  <c r="N21" i="9" s="1"/>
  <c r="N22" i="9" s="1"/>
  <c r="N23" i="9" s="1"/>
  <c r="N24" i="9" s="1"/>
  <c r="N25" i="9" s="1"/>
  <c r="N26" i="9" s="1"/>
  <c r="N27" i="9" s="1"/>
  <c r="J17" i="24"/>
  <c r="J18" i="24"/>
  <c r="J19" i="24"/>
  <c r="J20" i="24" s="1"/>
  <c r="J17" i="77"/>
  <c r="J18" i="77"/>
  <c r="J19" i="77"/>
  <c r="J20" i="77" s="1"/>
  <c r="J17" i="72"/>
  <c r="J18" i="72"/>
  <c r="J19" i="72"/>
  <c r="J20" i="72" s="1"/>
  <c r="J17" i="47"/>
  <c r="J18" i="47"/>
  <c r="J19" i="47"/>
  <c r="J20" i="47" s="1"/>
  <c r="J17" i="9"/>
  <c r="J18" i="9"/>
  <c r="J19" i="9"/>
  <c r="J20" i="9" s="1"/>
  <c r="R17" i="24"/>
  <c r="R18" i="24"/>
  <c r="R19" i="24"/>
  <c r="R20" i="24" s="1"/>
  <c r="R21" i="24" s="1"/>
  <c r="R22" i="24" s="1"/>
  <c r="R23" i="24" s="1"/>
  <c r="R24" i="24" s="1"/>
  <c r="R25" i="24" s="1"/>
  <c r="R26" i="24" s="1"/>
  <c r="R27" i="24" s="1"/>
  <c r="F17" i="12"/>
  <c r="F18" i="12"/>
  <c r="F19" i="12"/>
  <c r="F20" i="12" s="1"/>
  <c r="F17" i="70"/>
  <c r="F18" i="70"/>
  <c r="F19" i="70"/>
  <c r="F20" i="70" s="1"/>
  <c r="F17" i="3"/>
  <c r="F18" i="3"/>
  <c r="F19" i="3"/>
  <c r="F20" i="3" s="1"/>
  <c r="F17" i="9"/>
  <c r="F18" i="9"/>
  <c r="F19" i="9"/>
  <c r="F20" i="9" s="1"/>
  <c r="B17" i="46"/>
  <c r="B18" i="46" s="1"/>
  <c r="B19" i="46" s="1"/>
  <c r="B20" i="46" s="1"/>
  <c r="B17" i="64"/>
  <c r="B18" i="64" s="1"/>
  <c r="B19" i="64" s="1"/>
  <c r="B20" i="64" s="1"/>
  <c r="Q46" i="86"/>
  <c r="N46" i="86"/>
  <c r="H46" i="86"/>
  <c r="Q45" i="86"/>
  <c r="N45" i="86"/>
  <c r="H45" i="86"/>
  <c r="N43" i="86"/>
  <c r="H43" i="86"/>
  <c r="T24" i="86"/>
  <c r="Q24" i="86"/>
  <c r="N24" i="86"/>
  <c r="H24" i="86"/>
  <c r="Q21" i="86"/>
  <c r="N21" i="86"/>
  <c r="H21" i="86"/>
  <c r="Z16" i="103"/>
  <c r="Q17" i="83"/>
  <c r="N17" i="83"/>
  <c r="N18" i="83"/>
  <c r="N19" i="83"/>
  <c r="N20" i="83"/>
  <c r="N21" i="83"/>
  <c r="N22" i="83"/>
  <c r="N23" i="83"/>
  <c r="N24" i="83"/>
  <c r="N43" i="83"/>
  <c r="N44" i="83"/>
  <c r="N45" i="83"/>
  <c r="N46" i="83"/>
  <c r="N47" i="83"/>
  <c r="V17" i="67"/>
  <c r="V18" i="67"/>
  <c r="V19" i="67"/>
  <c r="V17" i="44"/>
  <c r="V18" i="44" s="1"/>
  <c r="V19" i="44" s="1"/>
  <c r="V17" i="16"/>
  <c r="V18" i="16"/>
  <c r="V19" i="16" s="1"/>
  <c r="V17" i="60"/>
  <c r="V18" i="60" s="1"/>
  <c r="V19" i="60" s="1"/>
  <c r="V17" i="1"/>
  <c r="V18" i="1"/>
  <c r="V19" i="1" s="1"/>
  <c r="N17" i="46"/>
  <c r="N18" i="46" s="1"/>
  <c r="N19" i="46" s="1"/>
  <c r="M79" i="28"/>
  <c r="L79" i="28"/>
  <c r="J17" i="102"/>
  <c r="J18" i="102"/>
  <c r="J19" i="102"/>
  <c r="J20" i="102" s="1"/>
  <c r="J21" i="102" s="1"/>
  <c r="J22" i="102" s="1"/>
  <c r="J23" i="102" s="1"/>
  <c r="J24" i="102" s="1"/>
  <c r="J25" i="102" s="1"/>
  <c r="J26" i="102" s="1"/>
  <c r="J27" i="102" s="1"/>
  <c r="J17" i="46"/>
  <c r="J18" i="46"/>
  <c r="J19" i="46"/>
  <c r="L78" i="28"/>
  <c r="J17" i="6"/>
  <c r="J18" i="6" s="1"/>
  <c r="J19" i="6" s="1"/>
  <c r="J17" i="1"/>
  <c r="J18" i="1"/>
  <c r="J19" i="1" s="1"/>
  <c r="R17" i="67"/>
  <c r="R18" i="67" s="1"/>
  <c r="R19" i="67" s="1"/>
  <c r="J78" i="28"/>
  <c r="R17" i="47"/>
  <c r="R18" i="47" s="1"/>
  <c r="R19" i="47" s="1"/>
  <c r="R17" i="46"/>
  <c r="R18" i="46"/>
  <c r="R19" i="46"/>
  <c r="R17" i="6"/>
  <c r="R18" i="6" s="1"/>
  <c r="R19" i="6" s="1"/>
  <c r="R17" i="20"/>
  <c r="R18" i="20"/>
  <c r="R19" i="20" s="1"/>
  <c r="F17" i="46"/>
  <c r="F18" i="46" s="1"/>
  <c r="F19" i="46"/>
  <c r="F17" i="2"/>
  <c r="F18" i="2"/>
  <c r="F19" i="2"/>
  <c r="B17" i="72"/>
  <c r="B18" i="72"/>
  <c r="B19" i="72" s="1"/>
  <c r="B17" i="67"/>
  <c r="B18" i="67" s="1"/>
  <c r="B19" i="67" s="1"/>
  <c r="D78" i="28"/>
  <c r="B17" i="2"/>
  <c r="B18" i="2"/>
  <c r="B19" i="2" s="1"/>
  <c r="V78" i="28"/>
  <c r="R86" i="28"/>
  <c r="V77" i="28"/>
  <c r="V80" i="28" s="1"/>
  <c r="V79" i="28"/>
  <c r="Z17" i="12"/>
  <c r="Z18" i="12"/>
  <c r="Z19" i="12" s="1"/>
  <c r="AC17" i="103"/>
  <c r="AC18" i="103" s="1"/>
  <c r="AC19" i="103" s="1"/>
  <c r="AC20" i="103" s="1"/>
  <c r="AC21" i="103" s="1"/>
  <c r="AC22" i="103" s="1"/>
  <c r="AC23" i="103" s="1"/>
  <c r="AC24" i="103" s="1"/>
  <c r="AC25" i="103" s="1"/>
  <c r="AC26" i="103" s="1"/>
  <c r="AC27" i="103" s="1"/>
  <c r="AB17" i="103"/>
  <c r="AB18" i="103" s="1"/>
  <c r="AB19" i="103" s="1"/>
  <c r="AB20" i="103" s="1"/>
  <c r="AB21" i="103" s="1"/>
  <c r="AB22" i="103" s="1"/>
  <c r="AB23" i="103" s="1"/>
  <c r="AB24" i="103" s="1"/>
  <c r="AB25" i="103" s="1"/>
  <c r="AB26" i="103" s="1"/>
  <c r="AB27" i="103" s="1"/>
  <c r="AA17" i="103"/>
  <c r="AA18" i="103" s="1"/>
  <c r="AA19" i="103" s="1"/>
  <c r="AA20" i="103" s="1"/>
  <c r="AA21" i="103" s="1"/>
  <c r="AA22" i="103" s="1"/>
  <c r="AA23" i="103" s="1"/>
  <c r="AA24" i="103" s="1"/>
  <c r="AA25" i="103" s="1"/>
  <c r="AA26" i="103" s="1"/>
  <c r="AA27" i="103"/>
  <c r="Z17" i="103"/>
  <c r="Z18" i="103"/>
  <c r="Z19" i="103"/>
  <c r="Z20" i="103"/>
  <c r="Z21" i="103" s="1"/>
  <c r="Z22" i="103" s="1"/>
  <c r="Z23" i="103" s="1"/>
  <c r="Z24" i="103" s="1"/>
  <c r="Z25" i="103" s="1"/>
  <c r="Z26" i="103" s="1"/>
  <c r="Z27" i="103" s="1"/>
  <c r="AC16" i="103"/>
  <c r="AB16" i="103"/>
  <c r="AA16" i="103"/>
  <c r="Y17" i="103"/>
  <c r="Y18" i="103" s="1"/>
  <c r="Y19" i="103" s="1"/>
  <c r="Y20" i="103" s="1"/>
  <c r="Y21" i="103" s="1"/>
  <c r="Y22" i="103" s="1"/>
  <c r="Y23" i="103" s="1"/>
  <c r="Y24" i="103" s="1"/>
  <c r="Y25" i="103" s="1"/>
  <c r="Y26" i="103" s="1"/>
  <c r="Y27" i="103" s="1"/>
  <c r="X17" i="103"/>
  <c r="X18" i="103" s="1"/>
  <c r="X19" i="103" s="1"/>
  <c r="X20" i="103" s="1"/>
  <c r="X21" i="103" s="1"/>
  <c r="X22" i="103" s="1"/>
  <c r="X23" i="103" s="1"/>
  <c r="X24" i="103" s="1"/>
  <c r="X25" i="103" s="1"/>
  <c r="X26" i="103" s="1"/>
  <c r="X27" i="103" s="1"/>
  <c r="W17" i="103"/>
  <c r="W18" i="103"/>
  <c r="W19" i="103"/>
  <c r="W20" i="103" s="1"/>
  <c r="W21" i="103" s="1"/>
  <c r="W22" i="103" s="1"/>
  <c r="W23" i="103" s="1"/>
  <c r="W24" i="103" s="1"/>
  <c r="W25" i="103" s="1"/>
  <c r="W26" i="103" s="1"/>
  <c r="W27" i="103" s="1"/>
  <c r="V17" i="103"/>
  <c r="V18" i="103" s="1"/>
  <c r="V19" i="103"/>
  <c r="V20" i="103" s="1"/>
  <c r="V21" i="103" s="1"/>
  <c r="V22" i="103" s="1"/>
  <c r="V23" i="103" s="1"/>
  <c r="V24" i="103" s="1"/>
  <c r="V25" i="103" s="1"/>
  <c r="V26" i="103" s="1"/>
  <c r="V27" i="103" s="1"/>
  <c r="U17" i="103"/>
  <c r="U18" i="103"/>
  <c r="U19" i="103" s="1"/>
  <c r="U20" i="103" s="1"/>
  <c r="U21" i="103" s="1"/>
  <c r="U22" i="103" s="1"/>
  <c r="U23" i="103" s="1"/>
  <c r="U24" i="103"/>
  <c r="U25" i="103" s="1"/>
  <c r="U26" i="103" s="1"/>
  <c r="U27" i="103" s="1"/>
  <c r="T17" i="103"/>
  <c r="T18" i="103"/>
  <c r="T19" i="103" s="1"/>
  <c r="T20" i="103" s="1"/>
  <c r="T21" i="103" s="1"/>
  <c r="T22" i="103" s="1"/>
  <c r="T23" i="103" s="1"/>
  <c r="T24" i="103" s="1"/>
  <c r="T25" i="103" s="1"/>
  <c r="T26" i="103" s="1"/>
  <c r="T27" i="103" s="1"/>
  <c r="S17" i="103"/>
  <c r="S18" i="103"/>
  <c r="S19" i="103" s="1"/>
  <c r="S20" i="103" s="1"/>
  <c r="S21" i="103" s="1"/>
  <c r="S22" i="103" s="1"/>
  <c r="S23" i="103" s="1"/>
  <c r="S24" i="103" s="1"/>
  <c r="S25" i="103" s="1"/>
  <c r="S26" i="103" s="1"/>
  <c r="S27" i="103" s="1"/>
  <c r="R17" i="103"/>
  <c r="R18" i="103" s="1"/>
  <c r="R19" i="103" s="1"/>
  <c r="R20" i="103" s="1"/>
  <c r="R21" i="103" s="1"/>
  <c r="R22" i="103" s="1"/>
  <c r="R23" i="103" s="1"/>
  <c r="R24" i="103" s="1"/>
  <c r="R25" i="103" s="1"/>
  <c r="R26" i="103" s="1"/>
  <c r="R27" i="103" s="1"/>
  <c r="Q17" i="103"/>
  <c r="Q18" i="103" s="1"/>
  <c r="Q19" i="103" s="1"/>
  <c r="Q20" i="103" s="1"/>
  <c r="Q21" i="103"/>
  <c r="Q22" i="103" s="1"/>
  <c r="Q23" i="103" s="1"/>
  <c r="Q24" i="103" s="1"/>
  <c r="Q25" i="103" s="1"/>
  <c r="Q26" i="103" s="1"/>
  <c r="Q27" i="103" s="1"/>
  <c r="P17" i="103"/>
  <c r="P18" i="103" s="1"/>
  <c r="P19" i="103" s="1"/>
  <c r="P20" i="103" s="1"/>
  <c r="P21" i="103" s="1"/>
  <c r="P22" i="103" s="1"/>
  <c r="P23" i="103" s="1"/>
  <c r="P24" i="103" s="1"/>
  <c r="P25" i="103" s="1"/>
  <c r="P26" i="103"/>
  <c r="P27" i="103" s="1"/>
  <c r="O17" i="103"/>
  <c r="O18" i="103"/>
  <c r="O19" i="103"/>
  <c r="O20" i="103" s="1"/>
  <c r="O21" i="103" s="1"/>
  <c r="O22" i="103" s="1"/>
  <c r="O23" i="103" s="1"/>
  <c r="O24" i="103"/>
  <c r="O25" i="103" s="1"/>
  <c r="O26" i="103" s="1"/>
  <c r="O27" i="103" s="1"/>
  <c r="N17" i="103"/>
  <c r="N18" i="103" s="1"/>
  <c r="N19" i="103"/>
  <c r="N20" i="103" s="1"/>
  <c r="N21" i="103" s="1"/>
  <c r="N22" i="103" s="1"/>
  <c r="N23" i="103" s="1"/>
  <c r="N24" i="103" s="1"/>
  <c r="N25" i="103" s="1"/>
  <c r="N26" i="103" s="1"/>
  <c r="N27" i="103" s="1"/>
  <c r="M17" i="103"/>
  <c r="M18" i="103"/>
  <c r="M19" i="103" s="1"/>
  <c r="M20" i="103" s="1"/>
  <c r="M21" i="103" s="1"/>
  <c r="M22" i="103" s="1"/>
  <c r="M23" i="103" s="1"/>
  <c r="M24" i="103" s="1"/>
  <c r="M25" i="103" s="1"/>
  <c r="M26" i="103" s="1"/>
  <c r="M27" i="103" s="1"/>
  <c r="L17" i="103"/>
  <c r="L18" i="103"/>
  <c r="L19" i="103" s="1"/>
  <c r="L20" i="103" s="1"/>
  <c r="L21" i="103" s="1"/>
  <c r="L22" i="103" s="1"/>
  <c r="L23" i="103" s="1"/>
  <c r="L24" i="103" s="1"/>
  <c r="L25" i="103" s="1"/>
  <c r="L26" i="103" s="1"/>
  <c r="L27" i="103" s="1"/>
  <c r="K17" i="103"/>
  <c r="K18" i="103"/>
  <c r="K19" i="103" s="1"/>
  <c r="K20" i="103" s="1"/>
  <c r="K21" i="103" s="1"/>
  <c r="K22" i="103"/>
  <c r="K23" i="103" s="1"/>
  <c r="K24" i="103" s="1"/>
  <c r="K25" i="103" s="1"/>
  <c r="K26" i="103" s="1"/>
  <c r="K27" i="103" s="1"/>
  <c r="J17" i="103"/>
  <c r="J18" i="103" s="1"/>
  <c r="J19" i="103" s="1"/>
  <c r="J20" i="103" s="1"/>
  <c r="J21" i="103" s="1"/>
  <c r="J22" i="103" s="1"/>
  <c r="J23" i="103" s="1"/>
  <c r="J24" i="103" s="1"/>
  <c r="J25" i="103" s="1"/>
  <c r="J26" i="103" s="1"/>
  <c r="J27" i="103" s="1"/>
  <c r="I17" i="103"/>
  <c r="I18" i="103" s="1"/>
  <c r="I19" i="103" s="1"/>
  <c r="I20" i="103" s="1"/>
  <c r="I21" i="103" s="1"/>
  <c r="I22" i="103" s="1"/>
  <c r="I23" i="103" s="1"/>
  <c r="I24" i="103" s="1"/>
  <c r="I25" i="103" s="1"/>
  <c r="I26" i="103" s="1"/>
  <c r="I27" i="103" s="1"/>
  <c r="H17" i="103"/>
  <c r="H18" i="103" s="1"/>
  <c r="H19" i="103" s="1"/>
  <c r="H20" i="103" s="1"/>
  <c r="H21" i="103" s="1"/>
  <c r="H22" i="103" s="1"/>
  <c r="H23" i="103" s="1"/>
  <c r="H24" i="103" s="1"/>
  <c r="H25" i="103" s="1"/>
  <c r="H26" i="103" s="1"/>
  <c r="H27" i="103" s="1"/>
  <c r="G17" i="103"/>
  <c r="G18" i="103"/>
  <c r="G19" i="103"/>
  <c r="G20" i="103" s="1"/>
  <c r="G21" i="103" s="1"/>
  <c r="G22" i="103" s="1"/>
  <c r="G23" i="103" s="1"/>
  <c r="G24" i="103" s="1"/>
  <c r="G25" i="103" s="1"/>
  <c r="G26" i="103" s="1"/>
  <c r="G27" i="103" s="1"/>
  <c r="F17" i="103"/>
  <c r="F18" i="103" s="1"/>
  <c r="F19" i="103"/>
  <c r="F20" i="103" s="1"/>
  <c r="F21" i="103" s="1"/>
  <c r="F22" i="103" s="1"/>
  <c r="F23" i="103" s="1"/>
  <c r="F24" i="103" s="1"/>
  <c r="F25" i="103" s="1"/>
  <c r="F26" i="103" s="1"/>
  <c r="F27" i="103" s="1"/>
  <c r="E17" i="103"/>
  <c r="E18" i="103"/>
  <c r="E19" i="103" s="1"/>
  <c r="E20" i="103" s="1"/>
  <c r="E21" i="103" s="1"/>
  <c r="E22" i="103" s="1"/>
  <c r="E23" i="103" s="1"/>
  <c r="E24" i="103"/>
  <c r="E25" i="103" s="1"/>
  <c r="E26" i="103" s="1"/>
  <c r="E27" i="103" s="1"/>
  <c r="D17" i="103"/>
  <c r="D18" i="103"/>
  <c r="D19" i="103" s="1"/>
  <c r="D20" i="103" s="1"/>
  <c r="D21" i="103" s="1"/>
  <c r="D22" i="103" s="1"/>
  <c r="D23" i="103" s="1"/>
  <c r="D24" i="103" s="1"/>
  <c r="D25" i="103" s="1"/>
  <c r="D26" i="103" s="1"/>
  <c r="D27" i="103" s="1"/>
  <c r="C17" i="103"/>
  <c r="C18" i="103"/>
  <c r="C19" i="103" s="1"/>
  <c r="C20" i="103" s="1"/>
  <c r="C21" i="103" s="1"/>
  <c r="C22" i="103" s="1"/>
  <c r="C23" i="103" s="1"/>
  <c r="C24" i="103" s="1"/>
  <c r="C25" i="103" s="1"/>
  <c r="C26" i="103" s="1"/>
  <c r="C27" i="103" s="1"/>
  <c r="B17" i="103"/>
  <c r="B18" i="103" s="1"/>
  <c r="B19" i="103" s="1"/>
  <c r="B20" i="103" s="1"/>
  <c r="B21" i="103" s="1"/>
  <c r="B22" i="103" s="1"/>
  <c r="B23" i="103" s="1"/>
  <c r="B24" i="103" s="1"/>
  <c r="B25" i="103" s="1"/>
  <c r="B26" i="103" s="1"/>
  <c r="B27" i="103" s="1"/>
  <c r="Y16" i="103"/>
  <c r="X16" i="103"/>
  <c r="W16" i="103"/>
  <c r="V16" i="103"/>
  <c r="U16" i="103"/>
  <c r="T16" i="103"/>
  <c r="S16" i="103"/>
  <c r="R16" i="103"/>
  <c r="Q16" i="103"/>
  <c r="P16" i="103"/>
  <c r="O16" i="103"/>
  <c r="N16" i="103"/>
  <c r="M16" i="103"/>
  <c r="L16" i="103"/>
  <c r="J16" i="103"/>
  <c r="I16" i="103"/>
  <c r="H16" i="103"/>
  <c r="G16" i="103"/>
  <c r="F16" i="103"/>
  <c r="E16" i="103"/>
  <c r="D16" i="103"/>
  <c r="C16" i="103"/>
  <c r="B16" i="103"/>
  <c r="U17" i="24"/>
  <c r="U18" i="24" s="1"/>
  <c r="U19" i="24" s="1"/>
  <c r="U20" i="24" s="1"/>
  <c r="U21" i="24" s="1"/>
  <c r="U22" i="24" s="1"/>
  <c r="U23" i="24" s="1"/>
  <c r="U24" i="24" s="1"/>
  <c r="U25" i="24" s="1"/>
  <c r="U26" i="24" s="1"/>
  <c r="U27" i="24" s="1"/>
  <c r="T17" i="24"/>
  <c r="T18" i="24" s="1"/>
  <c r="T19" i="24" s="1"/>
  <c r="T20" i="24" s="1"/>
  <c r="T21" i="24" s="1"/>
  <c r="T22" i="24" s="1"/>
  <c r="T23" i="24" s="1"/>
  <c r="T24" i="24" s="1"/>
  <c r="T25" i="24" s="1"/>
  <c r="T26" i="24" s="1"/>
  <c r="T27" i="24" s="1"/>
  <c r="S17" i="24"/>
  <c r="S18" i="24"/>
  <c r="S19" i="24"/>
  <c r="S20" i="24"/>
  <c r="S21" i="24" s="1"/>
  <c r="S22" i="24" s="1"/>
  <c r="S23" i="24" s="1"/>
  <c r="S24" i="24" s="1"/>
  <c r="S25" i="24" s="1"/>
  <c r="S26" i="24" s="1"/>
  <c r="S27" i="24" s="1"/>
  <c r="U16" i="24"/>
  <c r="T16" i="24"/>
  <c r="S16" i="24"/>
  <c r="R16" i="24"/>
  <c r="Z16" i="30"/>
  <c r="AC17" i="30"/>
  <c r="AC18" i="30" s="1"/>
  <c r="AC19" i="30"/>
  <c r="AC20" i="30" s="1"/>
  <c r="AC21" i="30" s="1"/>
  <c r="AC22" i="30" s="1"/>
  <c r="AC23" i="30" s="1"/>
  <c r="AC24" i="30" s="1"/>
  <c r="AC25" i="30" s="1"/>
  <c r="AC26" i="30" s="1"/>
  <c r="AC27" i="30" s="1"/>
  <c r="AB17" i="30"/>
  <c r="AB18" i="30"/>
  <c r="AB19" i="30" s="1"/>
  <c r="AB20" i="30" s="1"/>
  <c r="AB21" i="30" s="1"/>
  <c r="AB22" i="30" s="1"/>
  <c r="AB23" i="30" s="1"/>
  <c r="AB24" i="30"/>
  <c r="AB25" i="30" s="1"/>
  <c r="AB26" i="30" s="1"/>
  <c r="AB27" i="30" s="1"/>
  <c r="AA17" i="30"/>
  <c r="AA18" i="30"/>
  <c r="AA19" i="30" s="1"/>
  <c r="AA20" i="30" s="1"/>
  <c r="AA21" i="30" s="1"/>
  <c r="AA22" i="30" s="1"/>
  <c r="AA23" i="30" s="1"/>
  <c r="AA24" i="30" s="1"/>
  <c r="AA25" i="30" s="1"/>
  <c r="AA26" i="30" s="1"/>
  <c r="AA27" i="30" s="1"/>
  <c r="Z17" i="30"/>
  <c r="Z18" i="30"/>
  <c r="Z19" i="30" s="1"/>
  <c r="Z20" i="30" s="1"/>
  <c r="Z21" i="30" s="1"/>
  <c r="Z22" i="30" s="1"/>
  <c r="Z23" i="30" s="1"/>
  <c r="Z24" i="30" s="1"/>
  <c r="Z25" i="30" s="1"/>
  <c r="Z26" i="30" s="1"/>
  <c r="Z27" i="30" s="1"/>
  <c r="Y17" i="30"/>
  <c r="Y18" i="30" s="1"/>
  <c r="Y19" i="30" s="1"/>
  <c r="Y20" i="30" s="1"/>
  <c r="Y21" i="30" s="1"/>
  <c r="Y22" i="30" s="1"/>
  <c r="Y23" i="30" s="1"/>
  <c r="Y24" i="30" s="1"/>
  <c r="Y25" i="30" s="1"/>
  <c r="Y26" i="30" s="1"/>
  <c r="Y27" i="30" s="1"/>
  <c r="X17" i="30"/>
  <c r="X18" i="30" s="1"/>
  <c r="X19" i="30" s="1"/>
  <c r="X20" i="30" s="1"/>
  <c r="X21" i="30"/>
  <c r="X22" i="30" s="1"/>
  <c r="X23" i="30" s="1"/>
  <c r="X24" i="30" s="1"/>
  <c r="X25" i="30" s="1"/>
  <c r="X26" i="30" s="1"/>
  <c r="X27" i="30" s="1"/>
  <c r="W17" i="30"/>
  <c r="W18" i="30" s="1"/>
  <c r="W19" i="30" s="1"/>
  <c r="W20" i="30" s="1"/>
  <c r="W21" i="30" s="1"/>
  <c r="W22" i="30" s="1"/>
  <c r="W23" i="30" s="1"/>
  <c r="W24" i="30" s="1"/>
  <c r="W25" i="30" s="1"/>
  <c r="W26" i="30"/>
  <c r="W27" i="30" s="1"/>
  <c r="V17" i="30"/>
  <c r="V18" i="30"/>
  <c r="V19" i="30"/>
  <c r="V20" i="30" s="1"/>
  <c r="V21" i="30" s="1"/>
  <c r="V22" i="30" s="1"/>
  <c r="V23" i="30" s="1"/>
  <c r="U17" i="30"/>
  <c r="U18" i="30" s="1"/>
  <c r="U19" i="30"/>
  <c r="U20" i="30" s="1"/>
  <c r="U21" i="30" s="1"/>
  <c r="U22" i="30" s="1"/>
  <c r="U23" i="30" s="1"/>
  <c r="U24" i="30" s="1"/>
  <c r="U25" i="30" s="1"/>
  <c r="U26" i="30" s="1"/>
  <c r="U27" i="30" s="1"/>
  <c r="T17" i="30"/>
  <c r="T18" i="30"/>
  <c r="T19" i="30" s="1"/>
  <c r="T20" i="30" s="1"/>
  <c r="T21" i="30" s="1"/>
  <c r="T22" i="30" s="1"/>
  <c r="T23" i="30" s="1"/>
  <c r="T24" i="30" s="1"/>
  <c r="T25" i="30" s="1"/>
  <c r="T26" i="30" s="1"/>
  <c r="T27" i="30" s="1"/>
  <c r="S17" i="30"/>
  <c r="S18" i="30"/>
  <c r="S19" i="30" s="1"/>
  <c r="S20" i="30" s="1"/>
  <c r="S21" i="30" s="1"/>
  <c r="S22" i="30" s="1"/>
  <c r="S23" i="30" s="1"/>
  <c r="S24" i="30" s="1"/>
  <c r="S25" i="30" s="1"/>
  <c r="S26" i="30" s="1"/>
  <c r="S27" i="30" s="1"/>
  <c r="Q17" i="30"/>
  <c r="Q18" i="30" s="1"/>
  <c r="Q19" i="30" s="1"/>
  <c r="Q20" i="30" s="1"/>
  <c r="Q21" i="30" s="1"/>
  <c r="Q22" i="30" s="1"/>
  <c r="Q23" i="30" s="1"/>
  <c r="Q24" i="30" s="1"/>
  <c r="Q25" i="30" s="1"/>
  <c r="Q26" i="30" s="1"/>
  <c r="Q27" i="30" s="1"/>
  <c r="P17" i="30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O17" i="30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M17" i="30"/>
  <c r="M18" i="30" s="1"/>
  <c r="M19" i="30" s="1"/>
  <c r="M20" i="30" s="1"/>
  <c r="M21" i="30" s="1"/>
  <c r="M22" i="30" s="1"/>
  <c r="M23" i="30" s="1"/>
  <c r="M24" i="30" s="1"/>
  <c r="M25" i="30" s="1"/>
  <c r="M26" i="30" s="1"/>
  <c r="M27" i="30" s="1"/>
  <c r="L17" i="30"/>
  <c r="L18" i="30" s="1"/>
  <c r="L19" i="30" s="1"/>
  <c r="L20" i="30" s="1"/>
  <c r="L21" i="30" s="1"/>
  <c r="L22" i="30" s="1"/>
  <c r="L23" i="30" s="1"/>
  <c r="L24" i="30" s="1"/>
  <c r="L25" i="30" s="1"/>
  <c r="L26" i="30" s="1"/>
  <c r="L27" i="30" s="1"/>
  <c r="K17" i="30"/>
  <c r="K18" i="30" s="1"/>
  <c r="K19" i="30" s="1"/>
  <c r="K20" i="30" s="1"/>
  <c r="K21" i="30"/>
  <c r="K22" i="30" s="1"/>
  <c r="K23" i="30" s="1"/>
  <c r="K24" i="30" s="1"/>
  <c r="K25" i="30" s="1"/>
  <c r="K26" i="30" s="1"/>
  <c r="K27" i="30" s="1"/>
  <c r="I17" i="30"/>
  <c r="I18" i="30" s="1"/>
  <c r="I19" i="30"/>
  <c r="I20" i="30"/>
  <c r="I21" i="30" s="1"/>
  <c r="I22" i="30" s="1"/>
  <c r="I23" i="30" s="1"/>
  <c r="I24" i="30" s="1"/>
  <c r="I25" i="30" s="1"/>
  <c r="I26" i="30" s="1"/>
  <c r="I27" i="30" s="1"/>
  <c r="H17" i="30"/>
  <c r="H18" i="30"/>
  <c r="H19" i="30" s="1"/>
  <c r="H20" i="30"/>
  <c r="H21" i="30" s="1"/>
  <c r="H22" i="30" s="1"/>
  <c r="H23" i="30" s="1"/>
  <c r="H24" i="30" s="1"/>
  <c r="H25" i="30" s="1"/>
  <c r="H26" i="30" s="1"/>
  <c r="H27" i="30" s="1"/>
  <c r="G17" i="30"/>
  <c r="G18" i="30"/>
  <c r="G19" i="30"/>
  <c r="G20" i="30" s="1"/>
  <c r="G21" i="30" s="1"/>
  <c r="G22" i="30" s="1"/>
  <c r="G23" i="30" s="1"/>
  <c r="G24" i="30" s="1"/>
  <c r="G25" i="30" s="1"/>
  <c r="G26" i="30" s="1"/>
  <c r="G27" i="30" s="1"/>
  <c r="E17" i="30"/>
  <c r="E18" i="30" s="1"/>
  <c r="E19" i="30"/>
  <c r="E20" i="30" s="1"/>
  <c r="E21" i="30" s="1"/>
  <c r="E22" i="30" s="1"/>
  <c r="E23" i="30" s="1"/>
  <c r="E24" i="30"/>
  <c r="E25" i="30" s="1"/>
  <c r="E26" i="30" s="1"/>
  <c r="E27" i="30" s="1"/>
  <c r="D17" i="30"/>
  <c r="D18" i="30"/>
  <c r="D19" i="30" s="1"/>
  <c r="D20" i="30" s="1"/>
  <c r="D21" i="30" s="1"/>
  <c r="D22" i="30" s="1"/>
  <c r="D23" i="30" s="1"/>
  <c r="D24" i="30" s="1"/>
  <c r="D25" i="30" s="1"/>
  <c r="D26" i="30" s="1"/>
  <c r="D27" i="30" s="1"/>
  <c r="C17" i="30"/>
  <c r="C18" i="30"/>
  <c r="C19" i="30" s="1"/>
  <c r="C20" i="30" s="1"/>
  <c r="C21" i="30" s="1"/>
  <c r="C22" i="30" s="1"/>
  <c r="C23" i="30" s="1"/>
  <c r="C24" i="30" s="1"/>
  <c r="C25" i="30" s="1"/>
  <c r="C26" i="30" s="1"/>
  <c r="C27" i="30" s="1"/>
  <c r="AC16" i="30"/>
  <c r="AB16" i="30"/>
  <c r="AA16" i="30"/>
  <c r="Y16" i="30"/>
  <c r="X16" i="30"/>
  <c r="W16" i="30"/>
  <c r="U16" i="30"/>
  <c r="T16" i="30"/>
  <c r="S16" i="30"/>
  <c r="Q16" i="30"/>
  <c r="P16" i="30"/>
  <c r="O16" i="30"/>
  <c r="M16" i="30"/>
  <c r="L16" i="30"/>
  <c r="K16" i="30"/>
  <c r="I16" i="30"/>
  <c r="H16" i="30"/>
  <c r="G16" i="30"/>
  <c r="E16" i="30"/>
  <c r="D16" i="30"/>
  <c r="C16" i="30"/>
  <c r="T18" i="28"/>
  <c r="T55" i="28"/>
  <c r="V17" i="73"/>
  <c r="V18" i="73"/>
  <c r="V19" i="73" s="1"/>
  <c r="N17" i="16"/>
  <c r="N18" i="16" s="1"/>
  <c r="N19" i="16" s="1"/>
  <c r="F17" i="16"/>
  <c r="F18" i="16"/>
  <c r="F19" i="16" s="1"/>
  <c r="N17" i="40"/>
  <c r="N18" i="40" s="1"/>
  <c r="N19" i="40"/>
  <c r="B17" i="16"/>
  <c r="B18" i="16" s="1"/>
  <c r="B19" i="16"/>
  <c r="R17" i="73"/>
  <c r="R18" i="73" s="1"/>
  <c r="R19" i="73" s="1"/>
  <c r="N17" i="73"/>
  <c r="N18" i="73"/>
  <c r="N19" i="73"/>
  <c r="N20" i="73" s="1"/>
  <c r="N21" i="73" s="1"/>
  <c r="N22" i="73" s="1"/>
  <c r="M17" i="102"/>
  <c r="M18" i="102"/>
  <c r="M19" i="102"/>
  <c r="M20" i="102"/>
  <c r="M21" i="102" s="1"/>
  <c r="M22" i="102" s="1"/>
  <c r="M23" i="102" s="1"/>
  <c r="M24" i="102" s="1"/>
  <c r="M25" i="102" s="1"/>
  <c r="M26" i="102" s="1"/>
  <c r="M27" i="102" s="1"/>
  <c r="L17" i="102"/>
  <c r="L18" i="102"/>
  <c r="L19" i="102"/>
  <c r="L20" i="102" s="1"/>
  <c r="L21" i="102" s="1"/>
  <c r="L22" i="102" s="1"/>
  <c r="L23" i="102" s="1"/>
  <c r="L24" i="102" s="1"/>
  <c r="L25" i="102" s="1"/>
  <c r="L26" i="102" s="1"/>
  <c r="L27" i="102" s="1"/>
  <c r="K17" i="102"/>
  <c r="K18" i="102" s="1"/>
  <c r="K19" i="102" s="1"/>
  <c r="K20" i="102"/>
  <c r="K21" i="102" s="1"/>
  <c r="K22" i="102" s="1"/>
  <c r="K23" i="102" s="1"/>
  <c r="K24" i="102" s="1"/>
  <c r="K25" i="102" s="1"/>
  <c r="K26" i="102" s="1"/>
  <c r="K27" i="102" s="1"/>
  <c r="H17" i="102"/>
  <c r="H18" i="102" s="1"/>
  <c r="H19" i="102" s="1"/>
  <c r="H20" i="102" s="1"/>
  <c r="H21" i="102" s="1"/>
  <c r="H22" i="102" s="1"/>
  <c r="H23" i="102" s="1"/>
  <c r="H24" i="102" s="1"/>
  <c r="H25" i="102" s="1"/>
  <c r="H26" i="102" s="1"/>
  <c r="H27" i="102" s="1"/>
  <c r="G17" i="102"/>
  <c r="G18" i="102"/>
  <c r="G19" i="102" s="1"/>
  <c r="G20" i="102" s="1"/>
  <c r="G21" i="102" s="1"/>
  <c r="G22" i="102" s="1"/>
  <c r="G23" i="102" s="1"/>
  <c r="G24" i="102" s="1"/>
  <c r="G25" i="102" s="1"/>
  <c r="G26" i="102" s="1"/>
  <c r="G27" i="102" s="1"/>
  <c r="F4" i="102"/>
  <c r="F5" i="102"/>
  <c r="F17" i="102"/>
  <c r="F18" i="102" s="1"/>
  <c r="F6" i="102"/>
  <c r="F7" i="102"/>
  <c r="F19" i="102"/>
  <c r="F20" i="102" s="1"/>
  <c r="F21" i="102" s="1"/>
  <c r="F22" i="102" s="1"/>
  <c r="F23" i="102" s="1"/>
  <c r="F24" i="102" s="1"/>
  <c r="F25" i="102" s="1"/>
  <c r="F26" i="102" s="1"/>
  <c r="F27" i="102" s="1"/>
  <c r="F8" i="102"/>
  <c r="F9" i="102"/>
  <c r="F10" i="102"/>
  <c r="F11" i="102"/>
  <c r="F12" i="102"/>
  <c r="F13" i="102"/>
  <c r="F14" i="102"/>
  <c r="F15" i="102"/>
  <c r="D17" i="102"/>
  <c r="D18" i="102" s="1"/>
  <c r="D19" i="102" s="1"/>
  <c r="D20" i="102" s="1"/>
  <c r="D21" i="102" s="1"/>
  <c r="D22" i="102" s="1"/>
  <c r="D23" i="102" s="1"/>
  <c r="D24" i="102" s="1"/>
  <c r="D25" i="102" s="1"/>
  <c r="D26" i="102" s="1"/>
  <c r="D27" i="102" s="1"/>
  <c r="C17" i="102"/>
  <c r="C18" i="102" s="1"/>
  <c r="C19" i="102" s="1"/>
  <c r="C20" i="102" s="1"/>
  <c r="C21" i="102" s="1"/>
  <c r="C22" i="102" s="1"/>
  <c r="C23" i="102" s="1"/>
  <c r="C24" i="102" s="1"/>
  <c r="C25" i="102" s="1"/>
  <c r="C26" i="102" s="1"/>
  <c r="C27" i="102" s="1"/>
  <c r="B4" i="102"/>
  <c r="B5" i="102"/>
  <c r="B6" i="102"/>
  <c r="B7" i="102"/>
  <c r="B8" i="102"/>
  <c r="B9" i="102"/>
  <c r="B10" i="102"/>
  <c r="B11" i="102"/>
  <c r="B12" i="102"/>
  <c r="B13" i="102"/>
  <c r="B14" i="102"/>
  <c r="B15" i="102"/>
  <c r="M16" i="102"/>
  <c r="L16" i="102"/>
  <c r="K16" i="102"/>
  <c r="J16" i="102"/>
  <c r="H16" i="102"/>
  <c r="G16" i="102"/>
  <c r="F16" i="102"/>
  <c r="D16" i="102"/>
  <c r="C16" i="102"/>
  <c r="Q17" i="99"/>
  <c r="Q18" i="99" s="1"/>
  <c r="Q19" i="99" s="1"/>
  <c r="Q20" i="99" s="1"/>
  <c r="Q21" i="99" s="1"/>
  <c r="Q22" i="99" s="1"/>
  <c r="Q23" i="99" s="1"/>
  <c r="Q24" i="99" s="1"/>
  <c r="Q25" i="99" s="1"/>
  <c r="Q26" i="99" s="1"/>
  <c r="Q27" i="99" s="1"/>
  <c r="P17" i="99"/>
  <c r="P18" i="99"/>
  <c r="P19" i="99" s="1"/>
  <c r="P20" i="99" s="1"/>
  <c r="P21" i="99" s="1"/>
  <c r="P22" i="99" s="1"/>
  <c r="P23" i="99" s="1"/>
  <c r="P24" i="99" s="1"/>
  <c r="P25" i="99" s="1"/>
  <c r="P26" i="99" s="1"/>
  <c r="P27" i="99" s="1"/>
  <c r="O17" i="99"/>
  <c r="O18" i="99"/>
  <c r="O19" i="99"/>
  <c r="O20" i="99" s="1"/>
  <c r="O21" i="99" s="1"/>
  <c r="O22" i="99" s="1"/>
  <c r="O23" i="99" s="1"/>
  <c r="O24" i="99" s="1"/>
  <c r="O25" i="99" s="1"/>
  <c r="O26" i="99" s="1"/>
  <c r="O27" i="99" s="1"/>
  <c r="N17" i="99"/>
  <c r="N18" i="99" s="1"/>
  <c r="N19" i="99" s="1"/>
  <c r="N20" i="99" s="1"/>
  <c r="N21" i="99" s="1"/>
  <c r="N22" i="99" s="1"/>
  <c r="N23" i="99" s="1"/>
  <c r="N24" i="99" s="1"/>
  <c r="N25" i="99" s="1"/>
  <c r="N26" i="99" s="1"/>
  <c r="N27" i="99" s="1"/>
  <c r="Q16" i="99"/>
  <c r="P16" i="99"/>
  <c r="O16" i="99"/>
  <c r="N16" i="99"/>
  <c r="M17" i="101"/>
  <c r="M18" i="101" s="1"/>
  <c r="M19" i="101" s="1"/>
  <c r="M20" i="101" s="1"/>
  <c r="M21" i="101"/>
  <c r="M22" i="101" s="1"/>
  <c r="M23" i="101" s="1"/>
  <c r="M24" i="101" s="1"/>
  <c r="M25" i="101" s="1"/>
  <c r="M26" i="101" s="1"/>
  <c r="M27" i="101" s="1"/>
  <c r="L17" i="101"/>
  <c r="L18" i="101"/>
  <c r="L19" i="101" s="1"/>
  <c r="L20" i="101" s="1"/>
  <c r="L21" i="101" s="1"/>
  <c r="L22" i="101"/>
  <c r="L23" i="101" s="1"/>
  <c r="L24" i="101" s="1"/>
  <c r="L25" i="101" s="1"/>
  <c r="L26" i="101" s="1"/>
  <c r="L27" i="101" s="1"/>
  <c r="K17" i="101"/>
  <c r="K18" i="101"/>
  <c r="K19" i="101"/>
  <c r="K20" i="101" s="1"/>
  <c r="K21" i="101" s="1"/>
  <c r="K22" i="101" s="1"/>
  <c r="K23" i="101" s="1"/>
  <c r="K24" i="101" s="1"/>
  <c r="K25" i="101" s="1"/>
  <c r="K26" i="101" s="1"/>
  <c r="K27" i="101" s="1"/>
  <c r="J17" i="101"/>
  <c r="J18" i="101" s="1"/>
  <c r="J19" i="101" s="1"/>
  <c r="J20" i="101"/>
  <c r="J21" i="101" s="1"/>
  <c r="J22" i="101" s="1"/>
  <c r="J23" i="101" s="1"/>
  <c r="J24" i="101" s="1"/>
  <c r="J25" i="101" s="1"/>
  <c r="J26" i="101" s="1"/>
  <c r="J27" i="101" s="1"/>
  <c r="H17" i="101"/>
  <c r="H18" i="101" s="1"/>
  <c r="H19" i="101" s="1"/>
  <c r="H20" i="101" s="1"/>
  <c r="H21" i="101" s="1"/>
  <c r="H22" i="101" s="1"/>
  <c r="H23" i="101" s="1"/>
  <c r="H24" i="101" s="1"/>
  <c r="H25" i="101" s="1"/>
  <c r="H26" i="101" s="1"/>
  <c r="H27" i="101" s="1"/>
  <c r="G17" i="101"/>
  <c r="G18" i="101"/>
  <c r="G19" i="101" s="1"/>
  <c r="G20" i="101" s="1"/>
  <c r="G21" i="101" s="1"/>
  <c r="G22" i="101" s="1"/>
  <c r="G23" i="101" s="1"/>
  <c r="G24" i="101" s="1"/>
  <c r="G25" i="101" s="1"/>
  <c r="G26" i="101"/>
  <c r="G27" i="101" s="1"/>
  <c r="F4" i="101"/>
  <c r="F5" i="101"/>
  <c r="F17" i="101"/>
  <c r="F18" i="101" s="1"/>
  <c r="F6" i="101"/>
  <c r="F7" i="101"/>
  <c r="F19" i="101"/>
  <c r="F20" i="101" s="1"/>
  <c r="F8" i="101"/>
  <c r="F9" i="101"/>
  <c r="F21" i="101"/>
  <c r="F22" i="101" s="1"/>
  <c r="F10" i="101"/>
  <c r="F11" i="101"/>
  <c r="F23" i="101"/>
  <c r="F24" i="101" s="1"/>
  <c r="F25" i="101" s="1"/>
  <c r="F26" i="101" s="1"/>
  <c r="F27" i="101" s="1"/>
  <c r="F12" i="101"/>
  <c r="F13" i="101"/>
  <c r="F14" i="101"/>
  <c r="F15" i="101"/>
  <c r="D17" i="101"/>
  <c r="D18" i="101" s="1"/>
  <c r="D19" i="101" s="1"/>
  <c r="D20" i="101"/>
  <c r="D21" i="101" s="1"/>
  <c r="D22" i="101" s="1"/>
  <c r="D23" i="101" s="1"/>
  <c r="D24" i="101" s="1"/>
  <c r="D25" i="101" s="1"/>
  <c r="D26" i="101" s="1"/>
  <c r="D27" i="101" s="1"/>
  <c r="C17" i="101"/>
  <c r="C18" i="101" s="1"/>
  <c r="C19" i="101" s="1"/>
  <c r="C20" i="101" s="1"/>
  <c r="C21" i="101" s="1"/>
  <c r="C22" i="101" s="1"/>
  <c r="C23" i="101" s="1"/>
  <c r="C24" i="101" s="1"/>
  <c r="C25" i="101"/>
  <c r="C26" i="101" s="1"/>
  <c r="C27" i="101" s="1"/>
  <c r="B4" i="101"/>
  <c r="B5" i="101"/>
  <c r="B6" i="101"/>
  <c r="B7" i="101"/>
  <c r="B8" i="101"/>
  <c r="B9" i="101"/>
  <c r="B10" i="101"/>
  <c r="B11" i="101"/>
  <c r="B12" i="101"/>
  <c r="B13" i="101"/>
  <c r="B14" i="101"/>
  <c r="B15" i="101"/>
  <c r="M16" i="101"/>
  <c r="L16" i="101"/>
  <c r="K16" i="101"/>
  <c r="J16" i="101"/>
  <c r="H16" i="101"/>
  <c r="G16" i="101"/>
  <c r="F16" i="101"/>
  <c r="D16" i="101"/>
  <c r="C16" i="101"/>
  <c r="M17" i="100"/>
  <c r="M18" i="100" s="1"/>
  <c r="M19" i="100" s="1"/>
  <c r="M20" i="100" s="1"/>
  <c r="M21" i="100" s="1"/>
  <c r="M22" i="100" s="1"/>
  <c r="M23" i="100" s="1"/>
  <c r="M24" i="100" s="1"/>
  <c r="M25" i="100" s="1"/>
  <c r="M26" i="100" s="1"/>
  <c r="M27" i="100" s="1"/>
  <c r="L17" i="100"/>
  <c r="L18" i="100"/>
  <c r="L19" i="100" s="1"/>
  <c r="L20" i="100" s="1"/>
  <c r="L21" i="100" s="1"/>
  <c r="L22" i="100" s="1"/>
  <c r="L23" i="100"/>
  <c r="L24" i="100" s="1"/>
  <c r="L25" i="100" s="1"/>
  <c r="L26" i="100" s="1"/>
  <c r="L27" i="100" s="1"/>
  <c r="K17" i="100"/>
  <c r="K18" i="100"/>
  <c r="K19" i="100"/>
  <c r="K20" i="100" s="1"/>
  <c r="K21" i="100" s="1"/>
  <c r="K22" i="100" s="1"/>
  <c r="K23" i="100" s="1"/>
  <c r="K24" i="100"/>
  <c r="K25" i="100" s="1"/>
  <c r="K26" i="100" s="1"/>
  <c r="K27" i="100" s="1"/>
  <c r="J17" i="100"/>
  <c r="J18" i="100" s="1"/>
  <c r="J19" i="100" s="1"/>
  <c r="J20" i="100" s="1"/>
  <c r="J21" i="100"/>
  <c r="J22" i="100" s="1"/>
  <c r="J23" i="100" s="1"/>
  <c r="J24" i="100" s="1"/>
  <c r="J25" i="100" s="1"/>
  <c r="J26" i="100" s="1"/>
  <c r="J27" i="100" s="1"/>
  <c r="H17" i="100"/>
  <c r="H18" i="100"/>
  <c r="H19" i="100" s="1"/>
  <c r="H20" i="100" s="1"/>
  <c r="H21" i="100" s="1"/>
  <c r="H22" i="100" s="1"/>
  <c r="H23" i="100" s="1"/>
  <c r="H24" i="100" s="1"/>
  <c r="H25" i="100" s="1"/>
  <c r="H26" i="100" s="1"/>
  <c r="H27" i="100" s="1"/>
  <c r="G17" i="100"/>
  <c r="G18" i="100"/>
  <c r="G19" i="100" s="1"/>
  <c r="G20" i="100" s="1"/>
  <c r="G21" i="100" s="1"/>
  <c r="G22" i="100"/>
  <c r="G23" i="100" s="1"/>
  <c r="G24" i="100" s="1"/>
  <c r="G25" i="100" s="1"/>
  <c r="G26" i="100" s="1"/>
  <c r="G27" i="100" s="1"/>
  <c r="F4" i="100"/>
  <c r="F5" i="100"/>
  <c r="F17" i="100"/>
  <c r="F18" i="100" s="1"/>
  <c r="F6" i="100"/>
  <c r="F7" i="100"/>
  <c r="F19" i="100"/>
  <c r="F20" i="100" s="1"/>
  <c r="F8" i="100"/>
  <c r="F9" i="100"/>
  <c r="F21" i="100"/>
  <c r="F22" i="100" s="1"/>
  <c r="F23" i="100" s="1"/>
  <c r="F10" i="100"/>
  <c r="F11" i="100"/>
  <c r="F12" i="100"/>
  <c r="F16" i="100" s="1"/>
  <c r="F13" i="100"/>
  <c r="F14" i="100"/>
  <c r="F15" i="100"/>
  <c r="D17" i="100"/>
  <c r="D18" i="100" s="1"/>
  <c r="D19" i="100" s="1"/>
  <c r="D20" i="100" s="1"/>
  <c r="D21" i="100" s="1"/>
  <c r="D22" i="100" s="1"/>
  <c r="D23" i="100" s="1"/>
  <c r="D24" i="100" s="1"/>
  <c r="D25" i="100" s="1"/>
  <c r="D26" i="100" s="1"/>
  <c r="D27" i="100" s="1"/>
  <c r="C17" i="100"/>
  <c r="C18" i="100"/>
  <c r="C19" i="100" s="1"/>
  <c r="C20" i="100" s="1"/>
  <c r="C21" i="100" s="1"/>
  <c r="C22" i="100" s="1"/>
  <c r="C23" i="100" s="1"/>
  <c r="C24" i="100" s="1"/>
  <c r="C25" i="100" s="1"/>
  <c r="C26" i="100"/>
  <c r="C27" i="100" s="1"/>
  <c r="B4" i="100"/>
  <c r="B5" i="100"/>
  <c r="B17" i="100" s="1"/>
  <c r="B18" i="100" s="1"/>
  <c r="B19" i="100" s="1"/>
  <c r="B20" i="100" s="1"/>
  <c r="B6" i="100"/>
  <c r="B7" i="100"/>
  <c r="B8" i="100"/>
  <c r="B9" i="100"/>
  <c r="B10" i="100"/>
  <c r="B11" i="100"/>
  <c r="B12" i="100"/>
  <c r="B13" i="100"/>
  <c r="B14" i="100"/>
  <c r="B15" i="100"/>
  <c r="M16" i="100"/>
  <c r="L16" i="100"/>
  <c r="K16" i="100"/>
  <c r="J16" i="100"/>
  <c r="H16" i="100"/>
  <c r="G16" i="100"/>
  <c r="D16" i="100"/>
  <c r="C16" i="100"/>
  <c r="Q17" i="24"/>
  <c r="Q18" i="24" s="1"/>
  <c r="Q19" i="24" s="1"/>
  <c r="Q20" i="24" s="1"/>
  <c r="Q21" i="24" s="1"/>
  <c r="Q22" i="24" s="1"/>
  <c r="Q23" i="24" s="1"/>
  <c r="Q24" i="24" s="1"/>
  <c r="Q25" i="24" s="1"/>
  <c r="Q26" i="24" s="1"/>
  <c r="Q27" i="24" s="1"/>
  <c r="P17" i="24"/>
  <c r="P18" i="24"/>
  <c r="P19" i="24"/>
  <c r="P20" i="24" s="1"/>
  <c r="P21" i="24" s="1"/>
  <c r="P22" i="24" s="1"/>
  <c r="P23" i="24" s="1"/>
  <c r="P24" i="24" s="1"/>
  <c r="P25" i="24" s="1"/>
  <c r="P26" i="24" s="1"/>
  <c r="P27" i="24" s="1"/>
  <c r="O17" i="24"/>
  <c r="O18" i="24"/>
  <c r="O19" i="24"/>
  <c r="O20" i="24"/>
  <c r="O21" i="24" s="1"/>
  <c r="O22" i="24" s="1"/>
  <c r="O23" i="24" s="1"/>
  <c r="O24" i="24" s="1"/>
  <c r="O25" i="24" s="1"/>
  <c r="O26" i="24" s="1"/>
  <c r="O27" i="24" s="1"/>
  <c r="N21" i="24"/>
  <c r="N22" i="24" s="1"/>
  <c r="N23" i="24" s="1"/>
  <c r="N24" i="24" s="1"/>
  <c r="N25" i="24" s="1"/>
  <c r="N26" i="24" s="1"/>
  <c r="N27" i="24" s="1"/>
  <c r="Q16" i="24"/>
  <c r="P16" i="24"/>
  <c r="O16" i="24"/>
  <c r="N16" i="24"/>
  <c r="J4" i="12"/>
  <c r="J4" i="30" s="1"/>
  <c r="J5" i="12"/>
  <c r="J6" i="12"/>
  <c r="J6" i="30" s="1"/>
  <c r="J7" i="12"/>
  <c r="J7" i="30" s="1"/>
  <c r="J8" i="12"/>
  <c r="J8" i="30" s="1"/>
  <c r="J9" i="12"/>
  <c r="J9" i="30" s="1"/>
  <c r="J17" i="73"/>
  <c r="J18" i="73"/>
  <c r="J19" i="73"/>
  <c r="B4" i="11"/>
  <c r="B17" i="11" s="1"/>
  <c r="B18" i="11" s="1"/>
  <c r="B19" i="11" s="1"/>
  <c r="B5" i="11"/>
  <c r="B6" i="11"/>
  <c r="B7" i="11"/>
  <c r="R17" i="16"/>
  <c r="R18" i="16" s="1"/>
  <c r="R19" i="16" s="1"/>
  <c r="J17" i="92"/>
  <c r="J18" i="92"/>
  <c r="J19" i="92" s="1"/>
  <c r="W73" i="28"/>
  <c r="J17" i="3"/>
  <c r="J18" i="3"/>
  <c r="J19" i="3" s="1"/>
  <c r="R17" i="76"/>
  <c r="R18" i="76"/>
  <c r="R19" i="76"/>
  <c r="R17" i="3"/>
  <c r="R18" i="3" s="1"/>
  <c r="R19" i="3" s="1"/>
  <c r="J17" i="16"/>
  <c r="J18" i="16"/>
  <c r="J19" i="16" s="1"/>
  <c r="F17" i="73"/>
  <c r="F18" i="73"/>
  <c r="F19" i="73" s="1"/>
  <c r="B17" i="73"/>
  <c r="B18" i="73"/>
  <c r="B19" i="73"/>
  <c r="B17" i="40"/>
  <c r="B18" i="40" s="1"/>
  <c r="B19" i="40" s="1"/>
  <c r="AC17" i="62"/>
  <c r="AC18" i="62" s="1"/>
  <c r="AC19" i="62" s="1"/>
  <c r="AC20" i="62" s="1"/>
  <c r="AC21" i="62" s="1"/>
  <c r="AC22" i="62" s="1"/>
  <c r="AC23" i="62" s="1"/>
  <c r="AC24" i="62" s="1"/>
  <c r="AC25" i="62" s="1"/>
  <c r="AC26" i="62" s="1"/>
  <c r="AC27" i="62" s="1"/>
  <c r="AB17" i="62"/>
  <c r="AB18" i="62"/>
  <c r="AB19" i="62"/>
  <c r="AB20" i="62" s="1"/>
  <c r="AB21" i="62" s="1"/>
  <c r="AB22" i="62" s="1"/>
  <c r="AB23" i="62" s="1"/>
  <c r="AB24" i="62" s="1"/>
  <c r="AB25" i="62" s="1"/>
  <c r="AB26" i="62" s="1"/>
  <c r="AB27" i="62" s="1"/>
  <c r="AA17" i="62"/>
  <c r="AA18" i="62"/>
  <c r="AA19" i="62"/>
  <c r="AA20" i="62"/>
  <c r="AA21" i="62" s="1"/>
  <c r="AA22" i="62" s="1"/>
  <c r="AA23" i="62" s="1"/>
  <c r="AA24" i="62" s="1"/>
  <c r="AA25" i="62" s="1"/>
  <c r="AA26" i="62" s="1"/>
  <c r="AA27" i="62" s="1"/>
  <c r="Z21" i="62"/>
  <c r="Z22" i="62" s="1"/>
  <c r="Z23" i="62" s="1"/>
  <c r="Z24" i="62" s="1"/>
  <c r="Z25" i="62" s="1"/>
  <c r="Z26" i="62" s="1"/>
  <c r="Z27" i="62" s="1"/>
  <c r="AC16" i="62"/>
  <c r="AB16" i="62"/>
  <c r="AA16" i="62"/>
  <c r="Z16" i="62"/>
  <c r="W20" i="28"/>
  <c r="H61" i="28"/>
  <c r="R17" i="79"/>
  <c r="R18" i="79"/>
  <c r="N17" i="91"/>
  <c r="N18" i="91"/>
  <c r="N19" i="91"/>
  <c r="N20" i="91"/>
  <c r="N21" i="91"/>
  <c r="N22" i="91"/>
  <c r="N23" i="91"/>
  <c r="N24" i="91"/>
  <c r="N43" i="91"/>
  <c r="N44" i="91"/>
  <c r="N45" i="91"/>
  <c r="N46" i="91"/>
  <c r="N47" i="91"/>
  <c r="M17" i="99"/>
  <c r="M18" i="99" s="1"/>
  <c r="M19" i="99" s="1"/>
  <c r="M20" i="99" s="1"/>
  <c r="M21" i="99" s="1"/>
  <c r="M22" i="99" s="1"/>
  <c r="M23" i="99" s="1"/>
  <c r="M24" i="99" s="1"/>
  <c r="M25" i="99" s="1"/>
  <c r="M26" i="99" s="1"/>
  <c r="M27" i="99" s="1"/>
  <c r="L17" i="99"/>
  <c r="L18" i="99" s="1"/>
  <c r="L19" i="99" s="1"/>
  <c r="L20" i="99" s="1"/>
  <c r="L21" i="99" s="1"/>
  <c r="L22" i="99" s="1"/>
  <c r="L23" i="99" s="1"/>
  <c r="L24" i="99" s="1"/>
  <c r="L25" i="99" s="1"/>
  <c r="L26" i="99" s="1"/>
  <c r="L27" i="99" s="1"/>
  <c r="K17" i="99"/>
  <c r="K18" i="99"/>
  <c r="K19" i="99" s="1"/>
  <c r="K20" i="99" s="1"/>
  <c r="K21" i="99" s="1"/>
  <c r="K22" i="99" s="1"/>
  <c r="K23" i="99" s="1"/>
  <c r="K24" i="99" s="1"/>
  <c r="K25" i="99" s="1"/>
  <c r="K26" i="99"/>
  <c r="K27" i="99" s="1"/>
  <c r="J17" i="99"/>
  <c r="J18" i="99"/>
  <c r="J19" i="99"/>
  <c r="J20" i="99" s="1"/>
  <c r="J21" i="99" s="1"/>
  <c r="J22" i="99" s="1"/>
  <c r="J23" i="99" s="1"/>
  <c r="J24" i="99" s="1"/>
  <c r="J25" i="99" s="1"/>
  <c r="J26" i="99" s="1"/>
  <c r="J27" i="99"/>
  <c r="H17" i="99"/>
  <c r="H18" i="99" s="1"/>
  <c r="H19" i="99" s="1"/>
  <c r="H20" i="99" s="1"/>
  <c r="H21" i="99" s="1"/>
  <c r="H22" i="99" s="1"/>
  <c r="H23" i="99" s="1"/>
  <c r="H24" i="99"/>
  <c r="H25" i="99" s="1"/>
  <c r="H26" i="99" s="1"/>
  <c r="H27" i="99" s="1"/>
  <c r="G17" i="99"/>
  <c r="G18" i="99" s="1"/>
  <c r="G19" i="99" s="1"/>
  <c r="G20" i="99" s="1"/>
  <c r="G21" i="99"/>
  <c r="G22" i="99" s="1"/>
  <c r="G23" i="99" s="1"/>
  <c r="G24" i="99" s="1"/>
  <c r="G25" i="99" s="1"/>
  <c r="G26" i="99" s="1"/>
  <c r="G27" i="99" s="1"/>
  <c r="F17" i="99"/>
  <c r="F18" i="99"/>
  <c r="F19" i="99" s="1"/>
  <c r="F20" i="99" s="1"/>
  <c r="F21" i="99" s="1"/>
  <c r="F22" i="99" s="1"/>
  <c r="F23" i="99" s="1"/>
  <c r="F24" i="99" s="1"/>
  <c r="F25" i="99" s="1"/>
  <c r="F26" i="99" s="1"/>
  <c r="F27" i="99" s="1"/>
  <c r="D17" i="99"/>
  <c r="D18" i="99"/>
  <c r="D19" i="99"/>
  <c r="D20" i="99" s="1"/>
  <c r="D21" i="99" s="1"/>
  <c r="D22" i="99" s="1"/>
  <c r="D23" i="99" s="1"/>
  <c r="D24" i="99" s="1"/>
  <c r="D25" i="99" s="1"/>
  <c r="D26" i="99" s="1"/>
  <c r="D27" i="99" s="1"/>
  <c r="C17" i="99"/>
  <c r="C18" i="99" s="1"/>
  <c r="C19" i="99" s="1"/>
  <c r="C20" i="99" s="1"/>
  <c r="C21" i="99" s="1"/>
  <c r="C22" i="99" s="1"/>
  <c r="C23" i="99" s="1"/>
  <c r="C24" i="99" s="1"/>
  <c r="C25" i="99" s="1"/>
  <c r="C26" i="99" s="1"/>
  <c r="C27" i="99" s="1"/>
  <c r="B4" i="99"/>
  <c r="B5" i="99"/>
  <c r="B6" i="99"/>
  <c r="B7" i="99"/>
  <c r="B8" i="99"/>
  <c r="B9" i="99"/>
  <c r="B10" i="99"/>
  <c r="B11" i="99"/>
  <c r="B12" i="99"/>
  <c r="B13" i="99"/>
  <c r="B14" i="99"/>
  <c r="B15" i="99"/>
  <c r="M16" i="99"/>
  <c r="L16" i="99"/>
  <c r="K16" i="99"/>
  <c r="J16" i="99"/>
  <c r="H16" i="99"/>
  <c r="G16" i="99"/>
  <c r="F16" i="99"/>
  <c r="D16" i="99"/>
  <c r="C16" i="99"/>
  <c r="B17" i="9"/>
  <c r="B18" i="9" s="1"/>
  <c r="Q72" i="28"/>
  <c r="H16" i="83"/>
  <c r="W16" i="86"/>
  <c r="Q16" i="86"/>
  <c r="N16" i="86"/>
  <c r="H44" i="86"/>
  <c r="H23" i="86"/>
  <c r="H20" i="86"/>
  <c r="H19" i="86"/>
  <c r="H18" i="86"/>
  <c r="H17" i="86"/>
  <c r="E6" i="86"/>
  <c r="E16" i="86"/>
  <c r="E7" i="86"/>
  <c r="AO6" i="91"/>
  <c r="AI6" i="91"/>
  <c r="AI74" i="91" s="1"/>
  <c r="AF6" i="91"/>
  <c r="AF74" i="91" s="1"/>
  <c r="H17" i="91"/>
  <c r="H18" i="91"/>
  <c r="H19" i="91"/>
  <c r="H20" i="91"/>
  <c r="H21" i="91"/>
  <c r="H22" i="91"/>
  <c r="H23" i="91"/>
  <c r="H24" i="91"/>
  <c r="H43" i="91"/>
  <c r="H44" i="91"/>
  <c r="H45" i="91"/>
  <c r="H46" i="91"/>
  <c r="H53" i="91"/>
  <c r="H55" i="91"/>
  <c r="H56" i="91"/>
  <c r="E7" i="91"/>
  <c r="V20" i="1"/>
  <c r="V21" i="1" s="1"/>
  <c r="V22" i="1"/>
  <c r="V23" i="1" s="1"/>
  <c r="V24" i="1" s="1"/>
  <c r="V25" i="1" s="1"/>
  <c r="V26" i="1" s="1"/>
  <c r="V27" i="1"/>
  <c r="V16" i="1"/>
  <c r="Y17" i="1"/>
  <c r="Y18" i="1"/>
  <c r="Y19" i="1"/>
  <c r="Y20" i="1" s="1"/>
  <c r="Y21" i="1" s="1"/>
  <c r="Y22" i="1" s="1"/>
  <c r="Y23" i="1" s="1"/>
  <c r="Y24" i="1" s="1"/>
  <c r="Y25" i="1" s="1"/>
  <c r="Y26" i="1" s="1"/>
  <c r="Y27" i="1" s="1"/>
  <c r="X17" i="1"/>
  <c r="X18" i="1" s="1"/>
  <c r="X19" i="1"/>
  <c r="X20" i="1" s="1"/>
  <c r="X21" i="1" s="1"/>
  <c r="X22" i="1" s="1"/>
  <c r="X23" i="1" s="1"/>
  <c r="X24" i="1"/>
  <c r="X25" i="1" s="1"/>
  <c r="X26" i="1" s="1"/>
  <c r="X27" i="1" s="1"/>
  <c r="W17" i="1"/>
  <c r="W18" i="1"/>
  <c r="W19" i="1" s="1"/>
  <c r="W20" i="1" s="1"/>
  <c r="W21" i="1" s="1"/>
  <c r="W22" i="1" s="1"/>
  <c r="W23" i="1" s="1"/>
  <c r="W24" i="1" s="1"/>
  <c r="W25" i="1" s="1"/>
  <c r="W26" i="1" s="1"/>
  <c r="W27" i="1" s="1"/>
  <c r="Y16" i="1"/>
  <c r="X16" i="1"/>
  <c r="W16" i="1"/>
  <c r="V17" i="40"/>
  <c r="V18" i="40"/>
  <c r="V19" i="40"/>
  <c r="V20" i="40" s="1"/>
  <c r="V21" i="40" s="1"/>
  <c r="V22" i="40" s="1"/>
  <c r="V23" i="40" s="1"/>
  <c r="V24" i="40"/>
  <c r="V25" i="40" s="1"/>
  <c r="V26" i="40" s="1"/>
  <c r="V27" i="40" s="1"/>
  <c r="R17" i="40"/>
  <c r="R18" i="40" s="1"/>
  <c r="R19" i="40"/>
  <c r="R20" i="40" s="1"/>
  <c r="R21" i="40" s="1"/>
  <c r="R22" i="40" s="1"/>
  <c r="R23" i="40" s="1"/>
  <c r="R24" i="40" s="1"/>
  <c r="R25" i="40" s="1"/>
  <c r="R26" i="40" s="1"/>
  <c r="R27" i="40" s="1"/>
  <c r="F17" i="40"/>
  <c r="F18" i="40"/>
  <c r="F19" i="40" s="1"/>
  <c r="F20" i="40" s="1"/>
  <c r="F21" i="40" s="1"/>
  <c r="F22" i="40" s="1"/>
  <c r="F23" i="40" s="1"/>
  <c r="F24" i="40"/>
  <c r="F25" i="40" s="1"/>
  <c r="F26" i="40" s="1"/>
  <c r="V16" i="40"/>
  <c r="R16" i="40"/>
  <c r="J16" i="40"/>
  <c r="N16" i="40"/>
  <c r="Y17" i="40"/>
  <c r="Y18" i="40"/>
  <c r="Y19" i="40" s="1"/>
  <c r="Y20" i="40" s="1"/>
  <c r="Y21" i="40" s="1"/>
  <c r="Y22" i="40" s="1"/>
  <c r="Y23" i="40" s="1"/>
  <c r="Y24" i="40" s="1"/>
  <c r="Y25" i="40" s="1"/>
  <c r="Y26" i="40"/>
  <c r="Y27" i="40" s="1"/>
  <c r="X17" i="40"/>
  <c r="X18" i="40" s="1"/>
  <c r="X19" i="40"/>
  <c r="X20" i="40" s="1"/>
  <c r="X21" i="40" s="1"/>
  <c r="X22" i="40" s="1"/>
  <c r="X23" i="40" s="1"/>
  <c r="X24" i="40" s="1"/>
  <c r="X25" i="40" s="1"/>
  <c r="X26" i="40" s="1"/>
  <c r="X27" i="40" s="1"/>
  <c r="W17" i="40"/>
  <c r="W18" i="40" s="1"/>
  <c r="W19" i="40" s="1"/>
  <c r="W20" i="40"/>
  <c r="W21" i="40" s="1"/>
  <c r="W22" i="40" s="1"/>
  <c r="W23" i="40" s="1"/>
  <c r="W24" i="40" s="1"/>
  <c r="W25" i="40" s="1"/>
  <c r="W26" i="40" s="1"/>
  <c r="W27" i="40" s="1"/>
  <c r="Y16" i="40"/>
  <c r="X16" i="40"/>
  <c r="W16" i="40"/>
  <c r="U17" i="40"/>
  <c r="U18" i="40"/>
  <c r="U19" i="40" s="1"/>
  <c r="U20" i="40" s="1"/>
  <c r="U21" i="40" s="1"/>
  <c r="U22" i="40" s="1"/>
  <c r="U23" i="40" s="1"/>
  <c r="U24" i="40" s="1"/>
  <c r="U25" i="40" s="1"/>
  <c r="U26" i="40" s="1"/>
  <c r="U27" i="40" s="1"/>
  <c r="T17" i="40"/>
  <c r="T18" i="40" s="1"/>
  <c r="T19" i="40"/>
  <c r="T20" i="40" s="1"/>
  <c r="T21" i="40" s="1"/>
  <c r="T22" i="40" s="1"/>
  <c r="T23" i="40" s="1"/>
  <c r="T24" i="40" s="1"/>
  <c r="T25" i="40" s="1"/>
  <c r="T26" i="40" s="1"/>
  <c r="T27" i="40" s="1"/>
  <c r="S17" i="40"/>
  <c r="S18" i="40" s="1"/>
  <c r="S19" i="40" s="1"/>
  <c r="S20" i="40"/>
  <c r="S21" i="40" s="1"/>
  <c r="S22" i="40" s="1"/>
  <c r="S23" i="40" s="1"/>
  <c r="S24" i="40" s="1"/>
  <c r="S25" i="40" s="1"/>
  <c r="S26" i="40" s="1"/>
  <c r="S27" i="40" s="1"/>
  <c r="U16" i="40"/>
  <c r="T16" i="40"/>
  <c r="S16" i="40"/>
  <c r="N72" i="28"/>
  <c r="J17" i="70"/>
  <c r="N16" i="28"/>
  <c r="E58" i="28"/>
  <c r="E56" i="28"/>
  <c r="E45" i="28"/>
  <c r="E44" i="28"/>
  <c r="E43" i="28"/>
  <c r="E41" i="28"/>
  <c r="E40" i="28"/>
  <c r="E39" i="28"/>
  <c r="E38" i="28"/>
  <c r="E37" i="28"/>
  <c r="E36" i="28"/>
  <c r="E35" i="28"/>
  <c r="E33" i="28"/>
  <c r="E32" i="28"/>
  <c r="E30" i="28"/>
  <c r="E29" i="28"/>
  <c r="E28" i="28"/>
  <c r="E27" i="28"/>
  <c r="E24" i="28"/>
  <c r="E23" i="28"/>
  <c r="E22" i="28"/>
  <c r="E21" i="28"/>
  <c r="E20" i="28"/>
  <c r="E18" i="28"/>
  <c r="E17" i="28"/>
  <c r="E11" i="28"/>
  <c r="E10" i="28"/>
  <c r="E9" i="28"/>
  <c r="E8" i="28"/>
  <c r="E7" i="28"/>
  <c r="N7" i="28"/>
  <c r="N8" i="28"/>
  <c r="N9" i="28"/>
  <c r="N10" i="28"/>
  <c r="N11" i="28"/>
  <c r="N12" i="28"/>
  <c r="N13" i="28"/>
  <c r="Z17" i="4"/>
  <c r="Z17" i="78"/>
  <c r="Z17" i="60"/>
  <c r="Z17" i="76"/>
  <c r="Z17" i="58"/>
  <c r="Z17" i="69"/>
  <c r="Z17" i="7"/>
  <c r="Z18" i="7" s="1"/>
  <c r="Z17" i="10"/>
  <c r="Z17" i="55"/>
  <c r="Z17" i="5"/>
  <c r="Z17" i="67"/>
  <c r="Z17" i="46"/>
  <c r="Z17" i="64"/>
  <c r="Z17" i="43"/>
  <c r="Z17" i="6"/>
  <c r="U17" i="49"/>
  <c r="U18" i="49" s="1"/>
  <c r="U19" i="49" s="1"/>
  <c r="U20" i="49" s="1"/>
  <c r="U21" i="49" s="1"/>
  <c r="U22" i="49" s="1"/>
  <c r="U23" i="49" s="1"/>
  <c r="U24" i="49" s="1"/>
  <c r="U25" i="49" s="1"/>
  <c r="U26" i="49" s="1"/>
  <c r="U27" i="49" s="1"/>
  <c r="T17" i="49"/>
  <c r="T18" i="49" s="1"/>
  <c r="T19" i="49" s="1"/>
  <c r="T20" i="49" s="1"/>
  <c r="T21" i="49"/>
  <c r="T22" i="49" s="1"/>
  <c r="T23" i="49" s="1"/>
  <c r="T24" i="49" s="1"/>
  <c r="T25" i="49" s="1"/>
  <c r="T26" i="49" s="1"/>
  <c r="T27" i="49" s="1"/>
  <c r="S17" i="49"/>
  <c r="S18" i="49"/>
  <c r="S19" i="49" s="1"/>
  <c r="S20" i="49" s="1"/>
  <c r="S21" i="49" s="1"/>
  <c r="S22" i="49"/>
  <c r="S23" i="49" s="1"/>
  <c r="S24" i="49" s="1"/>
  <c r="S25" i="49" s="1"/>
  <c r="S26" i="49" s="1"/>
  <c r="S27" i="49" s="1"/>
  <c r="R17" i="49"/>
  <c r="R18" i="49" s="1"/>
  <c r="R19" i="49" s="1"/>
  <c r="R20" i="49" s="1"/>
  <c r="R21" i="49" s="1"/>
  <c r="R22" i="49" s="1"/>
  <c r="R23" i="49"/>
  <c r="R24" i="49" s="1"/>
  <c r="R25" i="49" s="1"/>
  <c r="R26" i="49" s="1"/>
  <c r="R27" i="49" s="1"/>
  <c r="Q17" i="49"/>
  <c r="Q18" i="49" s="1"/>
  <c r="Q19" i="49" s="1"/>
  <c r="Q20" i="49" s="1"/>
  <c r="Q21" i="49" s="1"/>
  <c r="Q22" i="49" s="1"/>
  <c r="Q23" i="49" s="1"/>
  <c r="Q24" i="49" s="1"/>
  <c r="Q25" i="49" s="1"/>
  <c r="Q26" i="49" s="1"/>
  <c r="Q27" i="49" s="1"/>
  <c r="P17" i="49"/>
  <c r="P18" i="49" s="1"/>
  <c r="P19" i="49" s="1"/>
  <c r="P20" i="49" s="1"/>
  <c r="P21" i="49"/>
  <c r="P22" i="49" s="1"/>
  <c r="P23" i="49" s="1"/>
  <c r="P24" i="49" s="1"/>
  <c r="P25" i="49" s="1"/>
  <c r="P26" i="49" s="1"/>
  <c r="P27" i="49" s="1"/>
  <c r="O17" i="49"/>
  <c r="O18" i="49"/>
  <c r="O19" i="49" s="1"/>
  <c r="O20" i="49" s="1"/>
  <c r="O21" i="49" s="1"/>
  <c r="O22" i="49"/>
  <c r="O23" i="49" s="1"/>
  <c r="O24" i="49" s="1"/>
  <c r="O25" i="49" s="1"/>
  <c r="O26" i="49" s="1"/>
  <c r="O27" i="49" s="1"/>
  <c r="N17" i="49"/>
  <c r="N18" i="49" s="1"/>
  <c r="N19" i="49" s="1"/>
  <c r="N20" i="49" s="1"/>
  <c r="N21" i="49" s="1"/>
  <c r="N22" i="49" s="1"/>
  <c r="N23" i="49" s="1"/>
  <c r="N24" i="49" s="1"/>
  <c r="N25" i="49" s="1"/>
  <c r="N26" i="49" s="1"/>
  <c r="N27" i="49" s="1"/>
  <c r="U16" i="49"/>
  <c r="T16" i="49"/>
  <c r="S16" i="49"/>
  <c r="R16" i="49"/>
  <c r="Q16" i="49"/>
  <c r="P16" i="49"/>
  <c r="O16" i="49"/>
  <c r="N16" i="49"/>
  <c r="U17" i="75"/>
  <c r="U18" i="75" s="1"/>
  <c r="U19" i="75" s="1"/>
  <c r="U20" i="75" s="1"/>
  <c r="U21" i="75" s="1"/>
  <c r="U22" i="75" s="1"/>
  <c r="U23" i="75" s="1"/>
  <c r="U24" i="75" s="1"/>
  <c r="U25" i="75" s="1"/>
  <c r="U26" i="75" s="1"/>
  <c r="U27" i="75" s="1"/>
  <c r="T17" i="75"/>
  <c r="T18" i="75" s="1"/>
  <c r="T19" i="75" s="1"/>
  <c r="T20" i="75" s="1"/>
  <c r="T21" i="75"/>
  <c r="T22" i="75" s="1"/>
  <c r="T23" i="75" s="1"/>
  <c r="T24" i="75" s="1"/>
  <c r="T25" i="75" s="1"/>
  <c r="T26" i="75" s="1"/>
  <c r="T27" i="75" s="1"/>
  <c r="S17" i="75"/>
  <c r="S18" i="75"/>
  <c r="S19" i="75" s="1"/>
  <c r="S20" i="75" s="1"/>
  <c r="S21" i="75" s="1"/>
  <c r="S22" i="75"/>
  <c r="S23" i="75" s="1"/>
  <c r="S24" i="75" s="1"/>
  <c r="S25" i="75" s="1"/>
  <c r="S26" i="75" s="1"/>
  <c r="S27" i="75" s="1"/>
  <c r="R17" i="75"/>
  <c r="R18" i="75" s="1"/>
  <c r="R19" i="75" s="1"/>
  <c r="R20" i="75" s="1"/>
  <c r="R21" i="75" s="1"/>
  <c r="R22" i="75" s="1"/>
  <c r="R23" i="75"/>
  <c r="R24" i="75" s="1"/>
  <c r="R25" i="75" s="1"/>
  <c r="R26" i="75" s="1"/>
  <c r="R27" i="75" s="1"/>
  <c r="U16" i="75"/>
  <c r="T16" i="75"/>
  <c r="S16" i="75"/>
  <c r="R16" i="75"/>
  <c r="Q17" i="75"/>
  <c r="Q18" i="75" s="1"/>
  <c r="Q19" i="75" s="1"/>
  <c r="Q20" i="75" s="1"/>
  <c r="Q21" i="75" s="1"/>
  <c r="Q22" i="75" s="1"/>
  <c r="Q23" i="75" s="1"/>
  <c r="Q24" i="75" s="1"/>
  <c r="Q25" i="75" s="1"/>
  <c r="Q26" i="75" s="1"/>
  <c r="Q27" i="75" s="1"/>
  <c r="P17" i="75"/>
  <c r="P18" i="75" s="1"/>
  <c r="P19" i="75" s="1"/>
  <c r="P20" i="75" s="1"/>
  <c r="P21" i="75"/>
  <c r="P22" i="75" s="1"/>
  <c r="P23" i="75" s="1"/>
  <c r="P24" i="75" s="1"/>
  <c r="P25" i="75" s="1"/>
  <c r="P26" i="75" s="1"/>
  <c r="P27" i="75" s="1"/>
  <c r="O17" i="75"/>
  <c r="O18" i="75"/>
  <c r="O19" i="75" s="1"/>
  <c r="O20" i="75" s="1"/>
  <c r="O21" i="75" s="1"/>
  <c r="O22" i="75"/>
  <c r="O23" i="75" s="1"/>
  <c r="O24" i="75" s="1"/>
  <c r="O25" i="75" s="1"/>
  <c r="O26" i="75" s="1"/>
  <c r="O27" i="75" s="1"/>
  <c r="N17" i="75"/>
  <c r="N18" i="75" s="1"/>
  <c r="N19" i="75" s="1"/>
  <c r="N20" i="75" s="1"/>
  <c r="N21" i="75" s="1"/>
  <c r="N22" i="75" s="1"/>
  <c r="N23" i="75" s="1"/>
  <c r="N24" i="75" s="1"/>
  <c r="N25" i="75" s="1"/>
  <c r="N26" i="75" s="1"/>
  <c r="N27" i="75" s="1"/>
  <c r="Q16" i="75"/>
  <c r="P16" i="75"/>
  <c r="O16" i="75"/>
  <c r="N16" i="75"/>
  <c r="M17" i="75"/>
  <c r="M18" i="75" s="1"/>
  <c r="M19" i="75" s="1"/>
  <c r="M20" i="75" s="1"/>
  <c r="M21" i="75" s="1"/>
  <c r="M22" i="75" s="1"/>
  <c r="M23" i="75" s="1"/>
  <c r="M24" i="75" s="1"/>
  <c r="M25" i="75" s="1"/>
  <c r="M26" i="75" s="1"/>
  <c r="M27" i="75" s="1"/>
  <c r="M16" i="75"/>
  <c r="AC17" i="42"/>
  <c r="AC18" i="42" s="1"/>
  <c r="AC19" i="42" s="1"/>
  <c r="AC20" i="42" s="1"/>
  <c r="AC21" i="42" s="1"/>
  <c r="AC22" i="42" s="1"/>
  <c r="AC23" i="42" s="1"/>
  <c r="AC24" i="42" s="1"/>
  <c r="AC25" i="42" s="1"/>
  <c r="AC26" i="42" s="1"/>
  <c r="AC27" i="42" s="1"/>
  <c r="AB17" i="42"/>
  <c r="AB18" i="42" s="1"/>
  <c r="AB19" i="42" s="1"/>
  <c r="AB20" i="42" s="1"/>
  <c r="AB21" i="42"/>
  <c r="AB22" i="42" s="1"/>
  <c r="AB23" i="42" s="1"/>
  <c r="AB24" i="42" s="1"/>
  <c r="AB25" i="42" s="1"/>
  <c r="AB26" i="42" s="1"/>
  <c r="AB27" i="42" s="1"/>
  <c r="AA17" i="42"/>
  <c r="AA18" i="42"/>
  <c r="AA19" i="42" s="1"/>
  <c r="AA20" i="42" s="1"/>
  <c r="AA21" i="42" s="1"/>
  <c r="AA22" i="42"/>
  <c r="AA23" i="42" s="1"/>
  <c r="AA24" i="42" s="1"/>
  <c r="AA25" i="42" s="1"/>
  <c r="AA26" i="42" s="1"/>
  <c r="AA27" i="42" s="1"/>
  <c r="Z17" i="42"/>
  <c r="Z18" i="42" s="1"/>
  <c r="Z19" i="42" s="1"/>
  <c r="Z20" i="42" s="1"/>
  <c r="Z21" i="42" s="1"/>
  <c r="Z22" i="42" s="1"/>
  <c r="Z23" i="42" s="1"/>
  <c r="Z24" i="42" s="1"/>
  <c r="Z25" i="42" s="1"/>
  <c r="Z26" i="42" s="1"/>
  <c r="Z27" i="42" s="1"/>
  <c r="AC16" i="42"/>
  <c r="AB16" i="42"/>
  <c r="AA16" i="42"/>
  <c r="Z16" i="42"/>
  <c r="Y17" i="42"/>
  <c r="Y18" i="42" s="1"/>
  <c r="Y19" i="42" s="1"/>
  <c r="Y20" i="42" s="1"/>
  <c r="Y21" i="42" s="1"/>
  <c r="Y22" i="42" s="1"/>
  <c r="Y23" i="42" s="1"/>
  <c r="Y24" i="42"/>
  <c r="Y25" i="42" s="1"/>
  <c r="Y26" i="42" s="1"/>
  <c r="Y27" i="42" s="1"/>
  <c r="X17" i="42"/>
  <c r="X18" i="42" s="1"/>
  <c r="X19" i="42" s="1"/>
  <c r="X20" i="42" s="1"/>
  <c r="X21" i="42"/>
  <c r="X22" i="42" s="1"/>
  <c r="X23" i="42" s="1"/>
  <c r="X24" i="42" s="1"/>
  <c r="X25" i="42" s="1"/>
  <c r="X26" i="42" s="1"/>
  <c r="X27" i="42" s="1"/>
  <c r="W17" i="42"/>
  <c r="W18" i="42"/>
  <c r="W19" i="42" s="1"/>
  <c r="W20" i="42" s="1"/>
  <c r="W21" i="42" s="1"/>
  <c r="W22" i="42"/>
  <c r="W23" i="42" s="1"/>
  <c r="W24" i="42" s="1"/>
  <c r="W25" i="42" s="1"/>
  <c r="W26" i="42" s="1"/>
  <c r="W27" i="42" s="1"/>
  <c r="V17" i="42"/>
  <c r="V18" i="42" s="1"/>
  <c r="V19" i="42" s="1"/>
  <c r="V20" i="42" s="1"/>
  <c r="V21" i="42" s="1"/>
  <c r="V22" i="42" s="1"/>
  <c r="V23" i="42" s="1"/>
  <c r="V24" i="42" s="1"/>
  <c r="V25" i="42" s="1"/>
  <c r="V26" i="42" s="1"/>
  <c r="V27" i="42" s="1"/>
  <c r="Y16" i="42"/>
  <c r="X16" i="42"/>
  <c r="W16" i="42"/>
  <c r="V16" i="42"/>
  <c r="U17" i="42"/>
  <c r="U18" i="42" s="1"/>
  <c r="U19" i="42" s="1"/>
  <c r="U20" i="42" s="1"/>
  <c r="U21" i="42" s="1"/>
  <c r="U22" i="42" s="1"/>
  <c r="U23" i="42" s="1"/>
  <c r="U24" i="42" s="1"/>
  <c r="U25" i="42" s="1"/>
  <c r="U26" i="42" s="1"/>
  <c r="U27" i="42" s="1"/>
  <c r="T17" i="42"/>
  <c r="T18" i="42" s="1"/>
  <c r="T19" i="42" s="1"/>
  <c r="T20" i="42" s="1"/>
  <c r="T21" i="42"/>
  <c r="T22" i="42" s="1"/>
  <c r="T23" i="42" s="1"/>
  <c r="T24" i="42" s="1"/>
  <c r="T25" i="42" s="1"/>
  <c r="T26" i="42" s="1"/>
  <c r="T27" i="42" s="1"/>
  <c r="S17" i="42"/>
  <c r="S18" i="42"/>
  <c r="S19" i="42" s="1"/>
  <c r="S20" i="42" s="1"/>
  <c r="S21" i="42" s="1"/>
  <c r="S22" i="42"/>
  <c r="S23" i="42" s="1"/>
  <c r="S24" i="42" s="1"/>
  <c r="S25" i="42" s="1"/>
  <c r="S26" i="42" s="1"/>
  <c r="S27" i="42" s="1"/>
  <c r="R17" i="42"/>
  <c r="R18" i="42" s="1"/>
  <c r="R19" i="42" s="1"/>
  <c r="R20" i="42" s="1"/>
  <c r="R21" i="42" s="1"/>
  <c r="R22" i="42" s="1"/>
  <c r="R23" i="42" s="1"/>
  <c r="R24" i="42" s="1"/>
  <c r="R25" i="42" s="1"/>
  <c r="R26" i="42" s="1"/>
  <c r="R27" i="42" s="1"/>
  <c r="U16" i="42"/>
  <c r="T16" i="42"/>
  <c r="S16" i="42"/>
  <c r="R16" i="42"/>
  <c r="Q17" i="42"/>
  <c r="Q18" i="42" s="1"/>
  <c r="Q19" i="42" s="1"/>
  <c r="Q20" i="42" s="1"/>
  <c r="Q21" i="42" s="1"/>
  <c r="Q22" i="42" s="1"/>
  <c r="Q23" i="42" s="1"/>
  <c r="Q24" i="42"/>
  <c r="Q25" i="42" s="1"/>
  <c r="Q26" i="42" s="1"/>
  <c r="Q27" i="42" s="1"/>
  <c r="P17" i="42"/>
  <c r="P18" i="42" s="1"/>
  <c r="P19" i="42" s="1"/>
  <c r="P20" i="42" s="1"/>
  <c r="P21" i="42"/>
  <c r="P22" i="42" s="1"/>
  <c r="P23" i="42" s="1"/>
  <c r="P24" i="42" s="1"/>
  <c r="P25" i="42" s="1"/>
  <c r="P26" i="42" s="1"/>
  <c r="P27" i="42" s="1"/>
  <c r="O17" i="42"/>
  <c r="O18" i="42"/>
  <c r="O19" i="42" s="1"/>
  <c r="O20" i="42" s="1"/>
  <c r="O21" i="42" s="1"/>
  <c r="O22" i="42"/>
  <c r="O23" i="42" s="1"/>
  <c r="O24" i="42" s="1"/>
  <c r="O25" i="42" s="1"/>
  <c r="O26" i="42" s="1"/>
  <c r="O27" i="42" s="1"/>
  <c r="N17" i="42"/>
  <c r="N18" i="42" s="1"/>
  <c r="N19" i="42" s="1"/>
  <c r="N20" i="42" s="1"/>
  <c r="N21" i="42" s="1"/>
  <c r="N22" i="42" s="1"/>
  <c r="N23" i="42" s="1"/>
  <c r="N24" i="42" s="1"/>
  <c r="N25" i="42" s="1"/>
  <c r="N26" i="42" s="1"/>
  <c r="N27" i="42" s="1"/>
  <c r="Q16" i="42"/>
  <c r="P16" i="42"/>
  <c r="O16" i="42"/>
  <c r="N16" i="42"/>
  <c r="R16" i="55"/>
  <c r="AG17" i="48"/>
  <c r="AG18" i="48" s="1"/>
  <c r="AG19" i="48"/>
  <c r="AG20" i="48" s="1"/>
  <c r="AG21" i="48" s="1"/>
  <c r="AG22" i="48" s="1"/>
  <c r="AG23" i="48" s="1"/>
  <c r="AG24" i="48" s="1"/>
  <c r="AG25" i="48" s="1"/>
  <c r="AG26" i="48" s="1"/>
  <c r="AG27" i="48" s="1"/>
  <c r="AF17" i="48"/>
  <c r="AF18" i="48" s="1"/>
  <c r="AF19" i="48" s="1"/>
  <c r="AF20" i="48"/>
  <c r="AF21" i="48" s="1"/>
  <c r="AF22" i="48" s="1"/>
  <c r="AF23" i="48" s="1"/>
  <c r="AF24" i="48" s="1"/>
  <c r="AF25" i="48" s="1"/>
  <c r="AF26" i="48" s="1"/>
  <c r="AF27" i="48" s="1"/>
  <c r="AE17" i="48"/>
  <c r="AE18" i="48" s="1"/>
  <c r="AE19" i="48" s="1"/>
  <c r="AE20" i="48" s="1"/>
  <c r="AE21" i="48" s="1"/>
  <c r="AE22" i="48" s="1"/>
  <c r="AE23" i="48" s="1"/>
  <c r="AE24" i="48" s="1"/>
  <c r="AE25" i="48" s="1"/>
  <c r="AE26" i="48" s="1"/>
  <c r="AE27" i="48" s="1"/>
  <c r="AD17" i="48"/>
  <c r="AD18" i="48"/>
  <c r="AD19" i="48" s="1"/>
  <c r="AD20" i="48" s="1"/>
  <c r="AD21" i="48" s="1"/>
  <c r="AD22" i="48" s="1"/>
  <c r="AD23" i="48" s="1"/>
  <c r="AD24" i="48" s="1"/>
  <c r="AD25" i="48" s="1"/>
  <c r="AD26" i="48" s="1"/>
  <c r="AD27" i="48" s="1"/>
  <c r="AG16" i="48"/>
  <c r="AF16" i="48"/>
  <c r="AE16" i="48"/>
  <c r="AD16" i="48"/>
  <c r="Z18" i="64"/>
  <c r="Z19" i="64" s="1"/>
  <c r="Z20" i="64"/>
  <c r="Z21" i="64" s="1"/>
  <c r="Z22" i="64" s="1"/>
  <c r="Z23" i="64" s="1"/>
  <c r="Z24" i="64" s="1"/>
  <c r="Z25" i="64" s="1"/>
  <c r="Z26" i="64" s="1"/>
  <c r="F16" i="78"/>
  <c r="J16" i="47"/>
  <c r="N16" i="6"/>
  <c r="J16" i="6"/>
  <c r="F16" i="60"/>
  <c r="F16" i="5"/>
  <c r="V17" i="76"/>
  <c r="V18" i="76" s="1"/>
  <c r="V19" i="76" s="1"/>
  <c r="V20" i="76" s="1"/>
  <c r="V21" i="76" s="1"/>
  <c r="V22" i="76" s="1"/>
  <c r="V23" i="76" s="1"/>
  <c r="V24" i="76" s="1"/>
  <c r="V25" i="76" s="1"/>
  <c r="V26" i="76" s="1"/>
  <c r="V27" i="76" s="1"/>
  <c r="AC17" i="10"/>
  <c r="AC18" i="10"/>
  <c r="AC19" i="10" s="1"/>
  <c r="AC20" i="10" s="1"/>
  <c r="AC21" i="10" s="1"/>
  <c r="AC22" i="10" s="1"/>
  <c r="AC23" i="10" s="1"/>
  <c r="AC24" i="10" s="1"/>
  <c r="AC25" i="10" s="1"/>
  <c r="AC26" i="10" s="1"/>
  <c r="AC27" i="10" s="1"/>
  <c r="AB17" i="10"/>
  <c r="AB18" i="10" s="1"/>
  <c r="AB19" i="10"/>
  <c r="AB20" i="10" s="1"/>
  <c r="AB21" i="10" s="1"/>
  <c r="AB22" i="10" s="1"/>
  <c r="AB23" i="10" s="1"/>
  <c r="AB24" i="10" s="1"/>
  <c r="AB25" i="10" s="1"/>
  <c r="AB26" i="10" s="1"/>
  <c r="AB27" i="10" s="1"/>
  <c r="AA17" i="10"/>
  <c r="AA18" i="10" s="1"/>
  <c r="AA19" i="10" s="1"/>
  <c r="AA20" i="10"/>
  <c r="AA21" i="10" s="1"/>
  <c r="AA22" i="10" s="1"/>
  <c r="AA23" i="10" s="1"/>
  <c r="AA24" i="10" s="1"/>
  <c r="AA25" i="10" s="1"/>
  <c r="AA26" i="10" s="1"/>
  <c r="AA27" i="10" s="1"/>
  <c r="Z18" i="10"/>
  <c r="Z19" i="10" s="1"/>
  <c r="Z20" i="10" s="1"/>
  <c r="Z21" i="10" s="1"/>
  <c r="Z22" i="10" s="1"/>
  <c r="Z23" i="10" s="1"/>
  <c r="Z24" i="10" s="1"/>
  <c r="Z25" i="10" s="1"/>
  <c r="Z26" i="10"/>
  <c r="Z27" i="10" s="1"/>
  <c r="Y17" i="10"/>
  <c r="Y18" i="10" s="1"/>
  <c r="Y19" i="10"/>
  <c r="Y20" i="10" s="1"/>
  <c r="Y21" i="10" s="1"/>
  <c r="Y22" i="10" s="1"/>
  <c r="Y23" i="10" s="1"/>
  <c r="Y24" i="10" s="1"/>
  <c r="Y25" i="10" s="1"/>
  <c r="Y26" i="10" s="1"/>
  <c r="Y27" i="10" s="1"/>
  <c r="X17" i="10"/>
  <c r="X18" i="10" s="1"/>
  <c r="X19" i="10" s="1"/>
  <c r="X20" i="10"/>
  <c r="X21" i="10" s="1"/>
  <c r="X22" i="10" s="1"/>
  <c r="X23" i="10" s="1"/>
  <c r="X24" i="10" s="1"/>
  <c r="X25" i="10" s="1"/>
  <c r="X26" i="10" s="1"/>
  <c r="X27" i="10" s="1"/>
  <c r="W17" i="10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V17" i="10"/>
  <c r="V18" i="10"/>
  <c r="V19" i="10" s="1"/>
  <c r="V20" i="10" s="1"/>
  <c r="V21" i="10" s="1"/>
  <c r="V22" i="10" s="1"/>
  <c r="V23" i="10" s="1"/>
  <c r="V24" i="10" s="1"/>
  <c r="V25" i="10" s="1"/>
  <c r="V26" i="10" s="1"/>
  <c r="V27" i="10" s="1"/>
  <c r="U17" i="10"/>
  <c r="U18" i="10" s="1"/>
  <c r="U19" i="10"/>
  <c r="U20" i="10" s="1"/>
  <c r="U21" i="10" s="1"/>
  <c r="U22" i="10" s="1"/>
  <c r="U23" i="10" s="1"/>
  <c r="U24" i="10" s="1"/>
  <c r="U25" i="10" s="1"/>
  <c r="U26" i="10" s="1"/>
  <c r="U27" i="10" s="1"/>
  <c r="T17" i="10"/>
  <c r="T18" i="10" s="1"/>
  <c r="T19" i="10" s="1"/>
  <c r="T20" i="10"/>
  <c r="T21" i="10" s="1"/>
  <c r="T22" i="10" s="1"/>
  <c r="T23" i="10" s="1"/>
  <c r="T24" i="10" s="1"/>
  <c r="T25" i="10" s="1"/>
  <c r="T26" i="10" s="1"/>
  <c r="T27" i="10" s="1"/>
  <c r="S17" i="10"/>
  <c r="S18" i="10" s="1"/>
  <c r="S19" i="10" s="1"/>
  <c r="S20" i="10" s="1"/>
  <c r="S21" i="10" s="1"/>
  <c r="S22" i="10" s="1"/>
  <c r="S23" i="10" s="1"/>
  <c r="S24" i="10" s="1"/>
  <c r="S25" i="10" s="1"/>
  <c r="S26" i="10" s="1"/>
  <c r="S27" i="10" s="1"/>
  <c r="R17" i="10"/>
  <c r="R18" i="10"/>
  <c r="R19" i="10" s="1"/>
  <c r="R20" i="10" s="1"/>
  <c r="R21" i="10" s="1"/>
  <c r="R22" i="10" s="1"/>
  <c r="R23" i="10" s="1"/>
  <c r="R24" i="10" s="1"/>
  <c r="R25" i="10" s="1"/>
  <c r="R26" i="10" s="1"/>
  <c r="R27" i="10" s="1"/>
  <c r="Q17" i="10"/>
  <c r="Q18" i="10" s="1"/>
  <c r="Q19" i="10"/>
  <c r="Q20" i="10" s="1"/>
  <c r="Q21" i="10" s="1"/>
  <c r="Q22" i="10" s="1"/>
  <c r="Q23" i="10" s="1"/>
  <c r="Q24" i="10" s="1"/>
  <c r="Q25" i="10" s="1"/>
  <c r="Q26" i="10" s="1"/>
  <c r="Q27" i="10"/>
  <c r="P17" i="10"/>
  <c r="P18" i="10" s="1"/>
  <c r="P19" i="10" s="1"/>
  <c r="P20" i="10"/>
  <c r="P21" i="10" s="1"/>
  <c r="P22" i="10" s="1"/>
  <c r="P23" i="10" s="1"/>
  <c r="P24" i="10" s="1"/>
  <c r="P25" i="10" s="1"/>
  <c r="P26" i="10" s="1"/>
  <c r="P27" i="10" s="1"/>
  <c r="O17" i="10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N17" i="10"/>
  <c r="N18" i="10"/>
  <c r="N19" i="10" s="1"/>
  <c r="N20" i="10" s="1"/>
  <c r="N21" i="10" s="1"/>
  <c r="N22" i="10" s="1"/>
  <c r="N23" i="10" s="1"/>
  <c r="N24" i="10" s="1"/>
  <c r="N25" i="10" s="1"/>
  <c r="N26" i="10" s="1"/>
  <c r="N27" i="10" s="1"/>
  <c r="M17" i="10"/>
  <c r="M18" i="10" s="1"/>
  <c r="M19" i="10"/>
  <c r="M20" i="10" s="1"/>
  <c r="M21" i="10" s="1"/>
  <c r="M22" i="10" s="1"/>
  <c r="M23" i="10" s="1"/>
  <c r="M24" i="10" s="1"/>
  <c r="M25" i="10" s="1"/>
  <c r="M26" i="10" s="1"/>
  <c r="M27" i="10" s="1"/>
  <c r="L17" i="10"/>
  <c r="L18" i="10" s="1"/>
  <c r="L19" i="10" s="1"/>
  <c r="L20" i="10"/>
  <c r="L21" i="10" s="1"/>
  <c r="L22" i="10" s="1"/>
  <c r="L23" i="10" s="1"/>
  <c r="L24" i="10" s="1"/>
  <c r="L25" i="10" s="1"/>
  <c r="L26" i="10" s="1"/>
  <c r="L27" i="10" s="1"/>
  <c r="K17" i="10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J17" i="10"/>
  <c r="J18" i="10"/>
  <c r="J19" i="10" s="1"/>
  <c r="J20" i="10" s="1"/>
  <c r="J21" i="10" s="1"/>
  <c r="J22" i="10" s="1"/>
  <c r="J23" i="10" s="1"/>
  <c r="J24" i="10" s="1"/>
  <c r="J25" i="10" s="1"/>
  <c r="J26" i="10" s="1"/>
  <c r="J27" i="10" s="1"/>
  <c r="I17" i="10"/>
  <c r="I18" i="10" s="1"/>
  <c r="I19" i="10"/>
  <c r="I20" i="10" s="1"/>
  <c r="I21" i="10" s="1"/>
  <c r="I22" i="10" s="1"/>
  <c r="I23" i="10" s="1"/>
  <c r="I24" i="10" s="1"/>
  <c r="I25" i="10" s="1"/>
  <c r="I26" i="10" s="1"/>
  <c r="I27" i="10" s="1"/>
  <c r="H17" i="10"/>
  <c r="H18" i="10" s="1"/>
  <c r="H19" i="10" s="1"/>
  <c r="H20" i="10"/>
  <c r="H21" i="10" s="1"/>
  <c r="H22" i="10" s="1"/>
  <c r="H23" i="10" s="1"/>
  <c r="H24" i="10" s="1"/>
  <c r="H25" i="10" s="1"/>
  <c r="H26" i="10" s="1"/>
  <c r="H27" i="10" s="1"/>
  <c r="G17" i="10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F17" i="10"/>
  <c r="F18" i="10"/>
  <c r="F19" i="10" s="1"/>
  <c r="F20" i="10" s="1"/>
  <c r="F21" i="10" s="1"/>
  <c r="F22" i="10" s="1"/>
  <c r="F23" i="10" s="1"/>
  <c r="F24" i="10" s="1"/>
  <c r="F25" i="10" s="1"/>
  <c r="F26" i="10" s="1"/>
  <c r="F27" i="10" s="1"/>
  <c r="E17" i="10"/>
  <c r="E18" i="10" s="1"/>
  <c r="E19" i="10"/>
  <c r="E20" i="10" s="1"/>
  <c r="E21" i="10" s="1"/>
  <c r="E22" i="10" s="1"/>
  <c r="E23" i="10" s="1"/>
  <c r="E24" i="10" s="1"/>
  <c r="E25" i="10" s="1"/>
  <c r="E26" i="10" s="1"/>
  <c r="E27" i="10" s="1"/>
  <c r="D17" i="10"/>
  <c r="D18" i="10" s="1"/>
  <c r="D19" i="10" s="1"/>
  <c r="D20" i="10"/>
  <c r="D21" i="10" s="1"/>
  <c r="D22" i="10" s="1"/>
  <c r="D23" i="10" s="1"/>
  <c r="D24" i="10" s="1"/>
  <c r="D25" i="10" s="1"/>
  <c r="D26" i="10" s="1"/>
  <c r="D27" i="10" s="1"/>
  <c r="C17" i="10"/>
  <c r="C18" i="10" s="1"/>
  <c r="C19" i="10" s="1"/>
  <c r="C20" i="10" s="1"/>
  <c r="C21" i="10" s="1"/>
  <c r="C22" i="10" s="1"/>
  <c r="C23" i="10" s="1"/>
  <c r="C24" i="10" s="1"/>
  <c r="C25" i="10"/>
  <c r="C26" i="10" s="1"/>
  <c r="C27" i="10" s="1"/>
  <c r="B17" i="10"/>
  <c r="B18" i="10"/>
  <c r="B19" i="10" s="1"/>
  <c r="B20" i="10" s="1"/>
  <c r="B21" i="10" s="1"/>
  <c r="B22" i="10" s="1"/>
  <c r="B23" i="10" s="1"/>
  <c r="B24" i="10" s="1"/>
  <c r="B25" i="10" s="1"/>
  <c r="B26" i="10" s="1"/>
  <c r="B27" i="10" s="1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C17" i="9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B17" i="9"/>
  <c r="AB18" i="9"/>
  <c r="AB19" i="9" s="1"/>
  <c r="AB20" i="9" s="1"/>
  <c r="AB21" i="9" s="1"/>
  <c r="AB22" i="9" s="1"/>
  <c r="AB23" i="9" s="1"/>
  <c r="AB24" i="9" s="1"/>
  <c r="AB25" i="9" s="1"/>
  <c r="AB26" i="9" s="1"/>
  <c r="AB27" i="9" s="1"/>
  <c r="AA17" i="9"/>
  <c r="AA18" i="9"/>
  <c r="AA19" i="9"/>
  <c r="AA20" i="9" s="1"/>
  <c r="AA21" i="9" s="1"/>
  <c r="AA22" i="9" s="1"/>
  <c r="AA23" i="9"/>
  <c r="AA24" i="9" s="1"/>
  <c r="AA25" i="9" s="1"/>
  <c r="AA26" i="9" s="1"/>
  <c r="AA27" i="9" s="1"/>
  <c r="Z17" i="9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Y17" i="9"/>
  <c r="Y18" i="9" s="1"/>
  <c r="Y19" i="9" s="1"/>
  <c r="Y20" i="9" s="1"/>
  <c r="Y21" i="9"/>
  <c r="Y22" i="9" s="1"/>
  <c r="Y23" i="9" s="1"/>
  <c r="Y24" i="9" s="1"/>
  <c r="Y25" i="9" s="1"/>
  <c r="Y26" i="9" s="1"/>
  <c r="Y27" i="9" s="1"/>
  <c r="X17" i="9"/>
  <c r="X18" i="9"/>
  <c r="X19" i="9" s="1"/>
  <c r="X20" i="9" s="1"/>
  <c r="X21" i="9" s="1"/>
  <c r="X22" i="9"/>
  <c r="X23" i="9" s="1"/>
  <c r="X24" i="9" s="1"/>
  <c r="X25" i="9" s="1"/>
  <c r="X26" i="9" s="1"/>
  <c r="X27" i="9" s="1"/>
  <c r="W17" i="9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V17" i="9"/>
  <c r="V18" i="9" s="1"/>
  <c r="V19" i="9" s="1"/>
  <c r="V20" i="9" s="1"/>
  <c r="V21" i="9" s="1"/>
  <c r="V22" i="9" s="1"/>
  <c r="V23" i="9" s="1"/>
  <c r="V24" i="9" s="1"/>
  <c r="V25" i="9" s="1"/>
  <c r="V26" i="9" s="1"/>
  <c r="V27" i="9" s="1"/>
  <c r="U17" i="9"/>
  <c r="U18" i="9" s="1"/>
  <c r="U19" i="9" s="1"/>
  <c r="U20" i="9" s="1"/>
  <c r="U21" i="9"/>
  <c r="U22" i="9" s="1"/>
  <c r="U23" i="9" s="1"/>
  <c r="U24" i="9" s="1"/>
  <c r="U25" i="9" s="1"/>
  <c r="U26" i="9" s="1"/>
  <c r="U27" i="9" s="1"/>
  <c r="T17" i="9"/>
  <c r="T18" i="9"/>
  <c r="T19" i="9" s="1"/>
  <c r="T20" i="9" s="1"/>
  <c r="T21" i="9" s="1"/>
  <c r="T22" i="9"/>
  <c r="T23" i="9" s="1"/>
  <c r="T24" i="9" s="1"/>
  <c r="T25" i="9" s="1"/>
  <c r="T26" i="9" s="1"/>
  <c r="T27" i="9" s="1"/>
  <c r="S17" i="9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R17" i="9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Q17" i="9"/>
  <c r="Q18" i="9" s="1"/>
  <c r="Q19" i="9" s="1"/>
  <c r="Q20" i="9" s="1"/>
  <c r="Q21" i="9"/>
  <c r="Q22" i="9" s="1"/>
  <c r="Q23" i="9" s="1"/>
  <c r="Q24" i="9" s="1"/>
  <c r="Q25" i="9" s="1"/>
  <c r="Q26" i="9" s="1"/>
  <c r="Q27" i="9" s="1"/>
  <c r="P17" i="9"/>
  <c r="P18" i="9"/>
  <c r="P19" i="9" s="1"/>
  <c r="P20" i="9" s="1"/>
  <c r="P21" i="9" s="1"/>
  <c r="P22" i="9"/>
  <c r="P23" i="9" s="1"/>
  <c r="P24" i="9" s="1"/>
  <c r="P25" i="9" s="1"/>
  <c r="P26" i="9" s="1"/>
  <c r="P27" i="9" s="1"/>
  <c r="O17" i="9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M17" i="9"/>
  <c r="M18" i="9" s="1"/>
  <c r="M19" i="9" s="1"/>
  <c r="M20" i="9" s="1"/>
  <c r="M21" i="9"/>
  <c r="M22" i="9" s="1"/>
  <c r="M23" i="9" s="1"/>
  <c r="M24" i="9" s="1"/>
  <c r="M25" i="9" s="1"/>
  <c r="M26" i="9" s="1"/>
  <c r="M27" i="9" s="1"/>
  <c r="L17" i="9"/>
  <c r="L18" i="9"/>
  <c r="L19" i="9" s="1"/>
  <c r="L20" i="9" s="1"/>
  <c r="L21" i="9" s="1"/>
  <c r="L22" i="9"/>
  <c r="L23" i="9" s="1"/>
  <c r="L24" i="9" s="1"/>
  <c r="L25" i="9" s="1"/>
  <c r="L26" i="9" s="1"/>
  <c r="L27" i="9" s="1"/>
  <c r="K17" i="9"/>
  <c r="K18" i="9" s="1"/>
  <c r="K19" i="9" s="1"/>
  <c r="K20" i="9" s="1"/>
  <c r="K21" i="9" s="1"/>
  <c r="K22" i="9" s="1"/>
  <c r="K23" i="9"/>
  <c r="K24" i="9" s="1"/>
  <c r="K25" i="9" s="1"/>
  <c r="K26" i="9" s="1"/>
  <c r="K27" i="9" s="1"/>
  <c r="J21" i="9"/>
  <c r="J22" i="9" s="1"/>
  <c r="J23" i="9" s="1"/>
  <c r="J24" i="9" s="1"/>
  <c r="J25" i="9" s="1"/>
  <c r="J26" i="9" s="1"/>
  <c r="J27" i="9" s="1"/>
  <c r="I17" i="9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H17" i="9"/>
  <c r="H18" i="9"/>
  <c r="H19" i="9" s="1"/>
  <c r="H20" i="9" s="1"/>
  <c r="H21" i="9" s="1"/>
  <c r="H22" i="9" s="1"/>
  <c r="H23" i="9" s="1"/>
  <c r="H24" i="9" s="1"/>
  <c r="H25" i="9" s="1"/>
  <c r="H26" i="9" s="1"/>
  <c r="H27" i="9" s="1"/>
  <c r="G17" i="9"/>
  <c r="G18" i="9" s="1"/>
  <c r="G19" i="9"/>
  <c r="G20" i="9" s="1"/>
  <c r="G21" i="9" s="1"/>
  <c r="G22" i="9" s="1"/>
  <c r="G23" i="9" s="1"/>
  <c r="G24" i="9" s="1"/>
  <c r="G25" i="9" s="1"/>
  <c r="G26" i="9" s="1"/>
  <c r="G27" i="9" s="1"/>
  <c r="F21" i="9"/>
  <c r="F22" i="9" s="1"/>
  <c r="F23" i="9" s="1"/>
  <c r="F24" i="9"/>
  <c r="F25" i="9" s="1"/>
  <c r="F26" i="9" s="1"/>
  <c r="F27" i="9" s="1"/>
  <c r="E17" i="9"/>
  <c r="E18" i="9" s="1"/>
  <c r="E19" i="9" s="1"/>
  <c r="E20" i="9" s="1"/>
  <c r="E21" i="9"/>
  <c r="E22" i="9" s="1"/>
  <c r="E23" i="9" s="1"/>
  <c r="E24" i="9" s="1"/>
  <c r="E25" i="9" s="1"/>
  <c r="E26" i="9" s="1"/>
  <c r="E27" i="9" s="1"/>
  <c r="D17" i="9"/>
  <c r="D18" i="9"/>
  <c r="D19" i="9" s="1"/>
  <c r="D20" i="9" s="1"/>
  <c r="D21" i="9" s="1"/>
  <c r="D22" i="9"/>
  <c r="D23" i="9" s="1"/>
  <c r="D24" i="9" s="1"/>
  <c r="D25" i="9" s="1"/>
  <c r="D26" i="9" s="1"/>
  <c r="D27" i="9" s="1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B19" i="9"/>
  <c r="B20" i="9" s="1"/>
  <c r="B21" i="9" s="1"/>
  <c r="B22" i="9" s="1"/>
  <c r="B23" i="9" s="1"/>
  <c r="B24" i="9" s="1"/>
  <c r="B25" i="9" s="1"/>
  <c r="B26" i="9" s="1"/>
  <c r="B27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C17" i="7"/>
  <c r="AC18" i="7" s="1"/>
  <c r="AC19" i="7"/>
  <c r="AC20" i="7" s="1"/>
  <c r="AC21" i="7" s="1"/>
  <c r="AC22" i="7" s="1"/>
  <c r="AC23" i="7" s="1"/>
  <c r="AC24" i="7" s="1"/>
  <c r="AC25" i="7" s="1"/>
  <c r="AC26" i="7" s="1"/>
  <c r="AC27" i="7" s="1"/>
  <c r="AB17" i="7"/>
  <c r="AB18" i="7" s="1"/>
  <c r="AB19" i="7" s="1"/>
  <c r="AB20" i="7"/>
  <c r="AB21" i="7" s="1"/>
  <c r="AB22" i="7" s="1"/>
  <c r="AB23" i="7" s="1"/>
  <c r="AB24" i="7" s="1"/>
  <c r="AB25" i="7" s="1"/>
  <c r="AB26" i="7" s="1"/>
  <c r="AB27" i="7" s="1"/>
  <c r="AA17" i="7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Z19" i="7"/>
  <c r="Z20" i="7" s="1"/>
  <c r="Z21" i="7" s="1"/>
  <c r="Z22" i="7" s="1"/>
  <c r="Z23" i="7" s="1"/>
  <c r="Z24" i="7" s="1"/>
  <c r="Z25" i="7" s="1"/>
  <c r="Z26" i="7" s="1"/>
  <c r="Z27" i="7" s="1"/>
  <c r="Y17" i="7"/>
  <c r="Y18" i="7" s="1"/>
  <c r="Y19" i="7" s="1"/>
  <c r="Y20" i="7"/>
  <c r="Y21" i="7" s="1"/>
  <c r="Y22" i="7" s="1"/>
  <c r="Y23" i="7" s="1"/>
  <c r="Y24" i="7" s="1"/>
  <c r="Y25" i="7" s="1"/>
  <c r="Y26" i="7" s="1"/>
  <c r="Y27" i="7" s="1"/>
  <c r="X17" i="7"/>
  <c r="X18" i="7" s="1"/>
  <c r="X19" i="7" s="1"/>
  <c r="X20" i="7" s="1"/>
  <c r="X21" i="7" s="1"/>
  <c r="X22" i="7" s="1"/>
  <c r="X23" i="7" s="1"/>
  <c r="X24" i="7" s="1"/>
  <c r="X25" i="7" s="1"/>
  <c r="X26" i="7" s="1"/>
  <c r="X27" i="7" s="1"/>
  <c r="W17" i="7"/>
  <c r="W18" i="7"/>
  <c r="W19" i="7"/>
  <c r="W20" i="7" s="1"/>
  <c r="W21" i="7" s="1"/>
  <c r="W22" i="7" s="1"/>
  <c r="W23" i="7" s="1"/>
  <c r="W24" i="7" s="1"/>
  <c r="W25" i="7" s="1"/>
  <c r="W26" i="7" s="1"/>
  <c r="W27" i="7" s="1"/>
  <c r="V17" i="7"/>
  <c r="V18" i="7" s="1"/>
  <c r="V19" i="7"/>
  <c r="V20" i="7" s="1"/>
  <c r="V21" i="7" s="1"/>
  <c r="V22" i="7" s="1"/>
  <c r="V23" i="7"/>
  <c r="V24" i="7" s="1"/>
  <c r="V25" i="7" s="1"/>
  <c r="V26" i="7" s="1"/>
  <c r="V27" i="7" s="1"/>
  <c r="U17" i="7"/>
  <c r="U18" i="7" s="1"/>
  <c r="U19" i="7" s="1"/>
  <c r="U20" i="7"/>
  <c r="U21" i="7" s="1"/>
  <c r="U22" i="7" s="1"/>
  <c r="U23" i="7" s="1"/>
  <c r="U24" i="7" s="1"/>
  <c r="U25" i="7" s="1"/>
  <c r="U26" i="7" s="1"/>
  <c r="U27" i="7" s="1"/>
  <c r="T17" i="7"/>
  <c r="T18" i="7" s="1"/>
  <c r="T19" i="7" s="1"/>
  <c r="T20" i="7" s="1"/>
  <c r="T21" i="7" s="1"/>
  <c r="T22" i="7" s="1"/>
  <c r="T23" i="7" s="1"/>
  <c r="T24" i="7" s="1"/>
  <c r="T25" i="7"/>
  <c r="T26" i="7" s="1"/>
  <c r="T27" i="7" s="1"/>
  <c r="S17" i="7"/>
  <c r="S18" i="7"/>
  <c r="S19" i="7"/>
  <c r="S20" i="7" s="1"/>
  <c r="S21" i="7" s="1"/>
  <c r="S22" i="7" s="1"/>
  <c r="S23" i="7" s="1"/>
  <c r="S24" i="7" s="1"/>
  <c r="S25" i="7" s="1"/>
  <c r="S26" i="7" s="1"/>
  <c r="S27" i="7"/>
  <c r="R17" i="7"/>
  <c r="R18" i="7" s="1"/>
  <c r="R19" i="7"/>
  <c r="R20" i="7" s="1"/>
  <c r="R21" i="7" s="1"/>
  <c r="R22" i="7" s="1"/>
  <c r="R23" i="7" s="1"/>
  <c r="R24" i="7" s="1"/>
  <c r="R25" i="7" s="1"/>
  <c r="R26" i="7" s="1"/>
  <c r="R27" i="7" s="1"/>
  <c r="Q17" i="7"/>
  <c r="Q18" i="7" s="1"/>
  <c r="Q19" i="7" s="1"/>
  <c r="Q20" i="7"/>
  <c r="Q21" i="7" s="1"/>
  <c r="Q22" i="7" s="1"/>
  <c r="Q23" i="7" s="1"/>
  <c r="Q24" i="7" s="1"/>
  <c r="Q25" i="7" s="1"/>
  <c r="Q26" i="7" s="1"/>
  <c r="Q27" i="7" s="1"/>
  <c r="P17" i="7"/>
  <c r="P18" i="7"/>
  <c r="P19" i="7" s="1"/>
  <c r="P20" i="7" s="1"/>
  <c r="P21" i="7" s="1"/>
  <c r="P22" i="7" s="1"/>
  <c r="P23" i="7" s="1"/>
  <c r="P24" i="7" s="1"/>
  <c r="P25" i="7" s="1"/>
  <c r="P26" i="7" s="1"/>
  <c r="P27" i="7" s="1"/>
  <c r="O17" i="7"/>
  <c r="O18" i="7" s="1"/>
  <c r="O19" i="7"/>
  <c r="O20" i="7" s="1"/>
  <c r="O21" i="7" s="1"/>
  <c r="O22" i="7" s="1"/>
  <c r="O23" i="7" s="1"/>
  <c r="O24" i="7" s="1"/>
  <c r="O25" i="7" s="1"/>
  <c r="O26" i="7" s="1"/>
  <c r="O27" i="7" s="1"/>
  <c r="N17" i="7"/>
  <c r="N18" i="7"/>
  <c r="N19" i="7" s="1"/>
  <c r="N20" i="7" s="1"/>
  <c r="N21" i="7" s="1"/>
  <c r="N22" i="7" s="1"/>
  <c r="N23" i="7" s="1"/>
  <c r="N24" i="7" s="1"/>
  <c r="N25" i="7" s="1"/>
  <c r="N26" i="7" s="1"/>
  <c r="N27" i="7" s="1"/>
  <c r="M17" i="7"/>
  <c r="M18" i="7" s="1"/>
  <c r="M19" i="7" s="1"/>
  <c r="M20" i="7" s="1"/>
  <c r="M21" i="7"/>
  <c r="M22" i="7" s="1"/>
  <c r="M23" i="7" s="1"/>
  <c r="M24" i="7" s="1"/>
  <c r="M25" i="7" s="1"/>
  <c r="M26" i="7" s="1"/>
  <c r="M27" i="7" s="1"/>
  <c r="L17" i="7"/>
  <c r="L18" i="7"/>
  <c r="L19" i="7" s="1"/>
  <c r="L20" i="7" s="1"/>
  <c r="L21" i="7" s="1"/>
  <c r="L22" i="7"/>
  <c r="L23" i="7" s="1"/>
  <c r="L24" i="7" s="1"/>
  <c r="L25" i="7" s="1"/>
  <c r="L26" i="7" s="1"/>
  <c r="L27" i="7" s="1"/>
  <c r="K17" i="7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J17" i="7"/>
  <c r="J18" i="7"/>
  <c r="J19" i="7" s="1"/>
  <c r="J20" i="7"/>
  <c r="J21" i="7" s="1"/>
  <c r="J22" i="7" s="1"/>
  <c r="J23" i="7" s="1"/>
  <c r="J24" i="7" s="1"/>
  <c r="J25" i="7" s="1"/>
  <c r="J26" i="7" s="1"/>
  <c r="J27" i="7" s="1"/>
  <c r="I17" i="7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H17" i="7"/>
  <c r="H18" i="7"/>
  <c r="H19" i="7" s="1"/>
  <c r="H20" i="7" s="1"/>
  <c r="H21" i="7" s="1"/>
  <c r="H22" i="7" s="1"/>
  <c r="H23" i="7" s="1"/>
  <c r="H24" i="7" s="1"/>
  <c r="H25" i="7" s="1"/>
  <c r="H26" i="7" s="1"/>
  <c r="H27" i="7" s="1"/>
  <c r="G17" i="7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F17" i="7"/>
  <c r="F18" i="7"/>
  <c r="F19" i="7" s="1"/>
  <c r="F20" i="7" s="1"/>
  <c r="F21" i="7" s="1"/>
  <c r="F22" i="7" s="1"/>
  <c r="F23" i="7" s="1"/>
  <c r="F24" i="7" s="1"/>
  <c r="F25" i="7" s="1"/>
  <c r="F26" i="7" s="1"/>
  <c r="F27" i="7" s="1"/>
  <c r="E17" i="7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D17" i="7"/>
  <c r="D18" i="7"/>
  <c r="D19" i="7" s="1"/>
  <c r="D20" i="7" s="1"/>
  <c r="D21" i="7" s="1"/>
  <c r="D22" i="7" s="1"/>
  <c r="D23" i="7" s="1"/>
  <c r="D24" i="7" s="1"/>
  <c r="D25" i="7" s="1"/>
  <c r="D26" i="7" s="1"/>
  <c r="D27" i="7" s="1"/>
  <c r="C17" i="7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B17" i="7"/>
  <c r="B18" i="7"/>
  <c r="B19" i="7" s="1"/>
  <c r="B20" i="7" s="1"/>
  <c r="B21" i="7" s="1"/>
  <c r="B22" i="7" s="1"/>
  <c r="B23" i="7" s="1"/>
  <c r="B24" i="7" s="1"/>
  <c r="B25" i="7" s="1"/>
  <c r="B26" i="7" s="1"/>
  <c r="B27" i="7" s="1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C17" i="5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B17" i="5"/>
  <c r="AB18" i="5"/>
  <c r="AB19" i="5" s="1"/>
  <c r="AB20" i="5" s="1"/>
  <c r="AB21" i="5" s="1"/>
  <c r="AB22" i="5" s="1"/>
  <c r="AB23" i="5" s="1"/>
  <c r="AB24" i="5" s="1"/>
  <c r="AB25" i="5" s="1"/>
  <c r="AB26" i="5" s="1"/>
  <c r="AB27" i="5" s="1"/>
  <c r="AA17" i="5"/>
  <c r="AA18" i="5" s="1"/>
  <c r="AA19" i="5"/>
  <c r="AA20" i="5" s="1"/>
  <c r="AA21" i="5" s="1"/>
  <c r="AA22" i="5" s="1"/>
  <c r="AA23" i="5" s="1"/>
  <c r="AA24" i="5" s="1"/>
  <c r="AA25" i="5" s="1"/>
  <c r="AA26" i="5" s="1"/>
  <c r="AA27" i="5" s="1"/>
  <c r="Z18" i="5"/>
  <c r="Z19" i="5"/>
  <c r="Z20" i="5" s="1"/>
  <c r="Z21" i="5" s="1"/>
  <c r="Z22" i="5" s="1"/>
  <c r="Z23" i="5" s="1"/>
  <c r="Z24" i="5" s="1"/>
  <c r="Z25" i="5" s="1"/>
  <c r="Z26" i="5" s="1"/>
  <c r="Z27" i="5" s="1"/>
  <c r="Y17" i="5"/>
  <c r="Y18" i="5"/>
  <c r="Y19" i="5" s="1"/>
  <c r="Y20" i="5" s="1"/>
  <c r="Y21" i="5" s="1"/>
  <c r="Y22" i="5" s="1"/>
  <c r="Y23" i="5" s="1"/>
  <c r="Y24" i="5" s="1"/>
  <c r="Y25" i="5" s="1"/>
  <c r="Y26" i="5" s="1"/>
  <c r="Y27" i="5" s="1"/>
  <c r="X17" i="5"/>
  <c r="X18" i="5" s="1"/>
  <c r="X19" i="5"/>
  <c r="X20" i="5" s="1"/>
  <c r="X21" i="5" s="1"/>
  <c r="X22" i="5" s="1"/>
  <c r="X23" i="5" s="1"/>
  <c r="X24" i="5" s="1"/>
  <c r="X25" i="5" s="1"/>
  <c r="X26" i="5" s="1"/>
  <c r="X27" i="5" s="1"/>
  <c r="W17" i="5"/>
  <c r="W18" i="5"/>
  <c r="W19" i="5" s="1"/>
  <c r="W20" i="5" s="1"/>
  <c r="W21" i="5" s="1"/>
  <c r="W22" i="5" s="1"/>
  <c r="W23" i="5" s="1"/>
  <c r="W24" i="5" s="1"/>
  <c r="W25" i="5" s="1"/>
  <c r="W26" i="5" s="1"/>
  <c r="W27" i="5" s="1"/>
  <c r="V17" i="5"/>
  <c r="V18" i="5" s="1"/>
  <c r="V19" i="5" s="1"/>
  <c r="V20" i="5" s="1"/>
  <c r="V21" i="5"/>
  <c r="V22" i="5" s="1"/>
  <c r="V23" i="5" s="1"/>
  <c r="V24" i="5" s="1"/>
  <c r="V25" i="5" s="1"/>
  <c r="V26" i="5" s="1"/>
  <c r="V27" i="5" s="1"/>
  <c r="U17" i="5"/>
  <c r="U18" i="5"/>
  <c r="U19" i="5" s="1"/>
  <c r="U20" i="5" s="1"/>
  <c r="U21" i="5" s="1"/>
  <c r="U22" i="5"/>
  <c r="U23" i="5" s="1"/>
  <c r="U24" i="5" s="1"/>
  <c r="U25" i="5" s="1"/>
  <c r="U26" i="5" s="1"/>
  <c r="U27" i="5" s="1"/>
  <c r="T17" i="5"/>
  <c r="T18" i="5" s="1"/>
  <c r="T19" i="5" s="1"/>
  <c r="T20" i="5" s="1"/>
  <c r="T21" i="5" s="1"/>
  <c r="T22" i="5" s="1"/>
  <c r="T23" i="5"/>
  <c r="T24" i="5" s="1"/>
  <c r="T25" i="5" s="1"/>
  <c r="T26" i="5" s="1"/>
  <c r="T27" i="5" s="1"/>
  <c r="S17" i="5"/>
  <c r="S18" i="5"/>
  <c r="S19" i="5" s="1"/>
  <c r="S20" i="5"/>
  <c r="S21" i="5" s="1"/>
  <c r="S22" i="5" s="1"/>
  <c r="S23" i="5" s="1"/>
  <c r="S24" i="5" s="1"/>
  <c r="S25" i="5" s="1"/>
  <c r="S26" i="5" s="1"/>
  <c r="S27" i="5" s="1"/>
  <c r="R17" i="5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Q17" i="5"/>
  <c r="Q18" i="5"/>
  <c r="Q19" i="5" s="1"/>
  <c r="Q20" i="5" s="1"/>
  <c r="Q21" i="5" s="1"/>
  <c r="Q22" i="5" s="1"/>
  <c r="Q23" i="5" s="1"/>
  <c r="Q24" i="5" s="1"/>
  <c r="Q25" i="5" s="1"/>
  <c r="Q26" i="5"/>
  <c r="Q27" i="5" s="1"/>
  <c r="P17" i="5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O17" i="5"/>
  <c r="O18" i="5"/>
  <c r="O19" i="5" s="1"/>
  <c r="O20" i="5" s="1"/>
  <c r="O21" i="5" s="1"/>
  <c r="O22" i="5" s="1"/>
  <c r="O23" i="5" s="1"/>
  <c r="O24" i="5" s="1"/>
  <c r="O25" i="5" s="1"/>
  <c r="O26" i="5" s="1"/>
  <c r="O27" i="5" s="1"/>
  <c r="N17" i="5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M17" i="5"/>
  <c r="M18" i="5"/>
  <c r="M19" i="5" s="1"/>
  <c r="M20" i="5" s="1"/>
  <c r="M21" i="5" s="1"/>
  <c r="M22" i="5" s="1"/>
  <c r="M23" i="5" s="1"/>
  <c r="M24" i="5" s="1"/>
  <c r="M25" i="5" s="1"/>
  <c r="M26" i="5" s="1"/>
  <c r="M27" i="5" s="1"/>
  <c r="L17" i="5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K17" i="5"/>
  <c r="K18" i="5"/>
  <c r="K19" i="5" s="1"/>
  <c r="K20" i="5" s="1"/>
  <c r="K21" i="5" s="1"/>
  <c r="K22" i="5" s="1"/>
  <c r="K23" i="5" s="1"/>
  <c r="K24" i="5" s="1"/>
  <c r="K25" i="5" s="1"/>
  <c r="K26" i="5" s="1"/>
  <c r="K27" i="5" s="1"/>
  <c r="J17" i="5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I17" i="5"/>
  <c r="I18" i="5"/>
  <c r="I19" i="5" s="1"/>
  <c r="I20" i="5" s="1"/>
  <c r="I21" i="5" s="1"/>
  <c r="I22" i="5" s="1"/>
  <c r="I23" i="5" s="1"/>
  <c r="I24" i="5" s="1"/>
  <c r="I25" i="5" s="1"/>
  <c r="I26" i="5" s="1"/>
  <c r="I27" i="5" s="1"/>
  <c r="H17" i="5"/>
  <c r="H18" i="5" s="1"/>
  <c r="H19" i="5"/>
  <c r="H20" i="5" s="1"/>
  <c r="H21" i="5" s="1"/>
  <c r="H22" i="5" s="1"/>
  <c r="H23" i="5" s="1"/>
  <c r="H24" i="5" s="1"/>
  <c r="H25" i="5" s="1"/>
  <c r="H26" i="5" s="1"/>
  <c r="H27" i="5" s="1"/>
  <c r="G17" i="5"/>
  <c r="G18" i="5"/>
  <c r="G19" i="5" s="1"/>
  <c r="G20" i="5" s="1"/>
  <c r="G21" i="5" s="1"/>
  <c r="G22" i="5" s="1"/>
  <c r="G23" i="5" s="1"/>
  <c r="G24" i="5" s="1"/>
  <c r="G25" i="5" s="1"/>
  <c r="G26" i="5" s="1"/>
  <c r="G27" i="5" s="1"/>
  <c r="F17" i="5"/>
  <c r="F18" i="5" s="1"/>
  <c r="F19" i="5" s="1"/>
  <c r="F20" i="5" s="1"/>
  <c r="F21" i="5"/>
  <c r="F22" i="5" s="1"/>
  <c r="F23" i="5" s="1"/>
  <c r="F24" i="5" s="1"/>
  <c r="F25" i="5" s="1"/>
  <c r="F26" i="5" s="1"/>
  <c r="F27" i="5" s="1"/>
  <c r="E17" i="5"/>
  <c r="E18" i="5"/>
  <c r="E19" i="5" s="1"/>
  <c r="E20" i="5" s="1"/>
  <c r="E21" i="5" s="1"/>
  <c r="E22" i="5"/>
  <c r="E23" i="5" s="1"/>
  <c r="E24" i="5" s="1"/>
  <c r="E25" i="5" s="1"/>
  <c r="E26" i="5" s="1"/>
  <c r="E27" i="5" s="1"/>
  <c r="D17" i="5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C17" i="5"/>
  <c r="C18" i="5"/>
  <c r="C19" i="5" s="1"/>
  <c r="C20" i="5"/>
  <c r="C21" i="5" s="1"/>
  <c r="C22" i="5" s="1"/>
  <c r="C23" i="5" s="1"/>
  <c r="C24" i="5" s="1"/>
  <c r="C25" i="5" s="1"/>
  <c r="C26" i="5" s="1"/>
  <c r="C27" i="5" s="1"/>
  <c r="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C16" i="5"/>
  <c r="AC17" i="6"/>
  <c r="AC18" i="6"/>
  <c r="AC19" i="6" s="1"/>
  <c r="AC20" i="6" s="1"/>
  <c r="AC21" i="6" s="1"/>
  <c r="AC22" i="6" s="1"/>
  <c r="AC23" i="6" s="1"/>
  <c r="AC24" i="6" s="1"/>
  <c r="AC25" i="6" s="1"/>
  <c r="AC26" i="6" s="1"/>
  <c r="AC27" i="6" s="1"/>
  <c r="AB17" i="6"/>
  <c r="AB18" i="6" s="1"/>
  <c r="AB19" i="6" s="1"/>
  <c r="AB20" i="6" s="1"/>
  <c r="AB21" i="6"/>
  <c r="AB22" i="6" s="1"/>
  <c r="AB23" i="6" s="1"/>
  <c r="AB24" i="6" s="1"/>
  <c r="AB25" i="6" s="1"/>
  <c r="AB26" i="6" s="1"/>
  <c r="AB27" i="6" s="1"/>
  <c r="AA17" i="6"/>
  <c r="AA18" i="6"/>
  <c r="AA19" i="6" s="1"/>
  <c r="AA20" i="6" s="1"/>
  <c r="AA21" i="6" s="1"/>
  <c r="AA22" i="6"/>
  <c r="AA23" i="6" s="1"/>
  <c r="AA24" i="6" s="1"/>
  <c r="AA25" i="6" s="1"/>
  <c r="AA26" i="6" s="1"/>
  <c r="AA27" i="6" s="1"/>
  <c r="Z18" i="6"/>
  <c r="Z19" i="6" s="1"/>
  <c r="Z20" i="6" s="1"/>
  <c r="Z21" i="6" s="1"/>
  <c r="Z22" i="6" s="1"/>
  <c r="Z23" i="6" s="1"/>
  <c r="Z24" i="6" s="1"/>
  <c r="Z25" i="6" s="1"/>
  <c r="Z26" i="6" s="1"/>
  <c r="Z27" i="6" s="1"/>
  <c r="Y17" i="6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X17" i="6"/>
  <c r="X18" i="6"/>
  <c r="X19" i="6" s="1"/>
  <c r="X20" i="6" s="1"/>
  <c r="X21" i="6" s="1"/>
  <c r="X22" i="6" s="1"/>
  <c r="X23" i="6" s="1"/>
  <c r="X24" i="6" s="1"/>
  <c r="X25" i="6" s="1"/>
  <c r="X26" i="6" s="1"/>
  <c r="X27" i="6" s="1"/>
  <c r="W17" i="6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V21" i="6"/>
  <c r="V22" i="6"/>
  <c r="V23" i="6" s="1"/>
  <c r="V24" i="6" s="1"/>
  <c r="V25" i="6" s="1"/>
  <c r="V26" i="6" s="1"/>
  <c r="V27" i="6" s="1"/>
  <c r="U17" i="6"/>
  <c r="U18" i="6" s="1"/>
  <c r="U19" i="6" s="1"/>
  <c r="U20" i="6" s="1"/>
  <c r="U21" i="6"/>
  <c r="U22" i="6" s="1"/>
  <c r="U23" i="6" s="1"/>
  <c r="U24" i="6" s="1"/>
  <c r="U25" i="6" s="1"/>
  <c r="U26" i="6" s="1"/>
  <c r="U27" i="6" s="1"/>
  <c r="T17" i="6"/>
  <c r="T18" i="6"/>
  <c r="T19" i="6" s="1"/>
  <c r="T20" i="6" s="1"/>
  <c r="T21" i="6" s="1"/>
  <c r="T22" i="6"/>
  <c r="T23" i="6" s="1"/>
  <c r="T24" i="6" s="1"/>
  <c r="T25" i="6" s="1"/>
  <c r="T26" i="6" s="1"/>
  <c r="T27" i="6" s="1"/>
  <c r="S17" i="6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R20" i="6"/>
  <c r="R21" i="6"/>
  <c r="R22" i="6" s="1"/>
  <c r="R23" i="6"/>
  <c r="R24" i="6" s="1"/>
  <c r="R25" i="6" s="1"/>
  <c r="R26" i="6" s="1"/>
  <c r="R27" i="6" s="1"/>
  <c r="Q17" i="6"/>
  <c r="Q18" i="6"/>
  <c r="Q19" i="6" s="1"/>
  <c r="Q20" i="6"/>
  <c r="Q21" i="6" s="1"/>
  <c r="Q22" i="6" s="1"/>
  <c r="Q23" i="6" s="1"/>
  <c r="Q24" i="6" s="1"/>
  <c r="Q25" i="6" s="1"/>
  <c r="Q26" i="6" s="1"/>
  <c r="Q27" i="6" s="1"/>
  <c r="P17" i="6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O17" i="6"/>
  <c r="O18" i="6"/>
  <c r="O19" i="6" s="1"/>
  <c r="O20" i="6" s="1"/>
  <c r="O21" i="6" s="1"/>
  <c r="O22" i="6" s="1"/>
  <c r="O23" i="6" s="1"/>
  <c r="O24" i="6" s="1"/>
  <c r="O25" i="6" s="1"/>
  <c r="O26" i="6" s="1"/>
  <c r="O27" i="6" s="1"/>
  <c r="N17" i="6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M17" i="6"/>
  <c r="M18" i="6"/>
  <c r="M19" i="6" s="1"/>
  <c r="M20" i="6" s="1"/>
  <c r="M21" i="6" s="1"/>
  <c r="M22" i="6" s="1"/>
  <c r="M23" i="6" s="1"/>
  <c r="M24" i="6" s="1"/>
  <c r="M25" i="6" s="1"/>
  <c r="M26" i="6" s="1"/>
  <c r="M27" i="6" s="1"/>
  <c r="L17" i="6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K17" i="6"/>
  <c r="K18" i="6"/>
  <c r="K19" i="6" s="1"/>
  <c r="K20" i="6" s="1"/>
  <c r="K21" i="6" s="1"/>
  <c r="K22" i="6" s="1"/>
  <c r="K23" i="6" s="1"/>
  <c r="K24" i="6" s="1"/>
  <c r="K25" i="6" s="1"/>
  <c r="K26" i="6" s="1"/>
  <c r="K27" i="6" s="1"/>
  <c r="J20" i="6"/>
  <c r="J21" i="6" s="1"/>
  <c r="J22" i="6" s="1"/>
  <c r="J23" i="6" s="1"/>
  <c r="J24" i="6" s="1"/>
  <c r="J25" i="6" s="1"/>
  <c r="J26" i="6" s="1"/>
  <c r="J27" i="6" s="1"/>
  <c r="I17" i="6"/>
  <c r="I18" i="6" s="1"/>
  <c r="I19" i="6"/>
  <c r="I20" i="6" s="1"/>
  <c r="I21" i="6" s="1"/>
  <c r="I22" i="6" s="1"/>
  <c r="I23" i="6" s="1"/>
  <c r="I24" i="6" s="1"/>
  <c r="I25" i="6" s="1"/>
  <c r="I26" i="6" s="1"/>
  <c r="I27" i="6" s="1"/>
  <c r="H17" i="6"/>
  <c r="H18" i="6"/>
  <c r="H19" i="6" s="1"/>
  <c r="H20" i="6" s="1"/>
  <c r="H21" i="6" s="1"/>
  <c r="H22" i="6" s="1"/>
  <c r="H23" i="6" s="1"/>
  <c r="H24" i="6" s="1"/>
  <c r="H25" i="6" s="1"/>
  <c r="H26" i="6" s="1"/>
  <c r="H27" i="6" s="1"/>
  <c r="G17" i="6"/>
  <c r="G18" i="6" s="1"/>
  <c r="G19" i="6" s="1"/>
  <c r="G20" i="6" s="1"/>
  <c r="G21" i="6"/>
  <c r="G22" i="6" s="1"/>
  <c r="G23" i="6" s="1"/>
  <c r="G24" i="6" s="1"/>
  <c r="G25" i="6" s="1"/>
  <c r="G26" i="6" s="1"/>
  <c r="G27" i="6" s="1"/>
  <c r="F17" i="6"/>
  <c r="F18" i="6"/>
  <c r="F19" i="6" s="1"/>
  <c r="F20" i="6" s="1"/>
  <c r="F21" i="6" s="1"/>
  <c r="F22" i="6"/>
  <c r="F23" i="6" s="1"/>
  <c r="F24" i="6" s="1"/>
  <c r="F25" i="6" s="1"/>
  <c r="F26" i="6" s="1"/>
  <c r="F27" i="6" s="1"/>
  <c r="E17" i="6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D17" i="6"/>
  <c r="D18" i="6"/>
  <c r="D19" i="6" s="1"/>
  <c r="D20" i="6"/>
  <c r="D21" i="6" s="1"/>
  <c r="D22" i="6" s="1"/>
  <c r="D23" i="6" s="1"/>
  <c r="D24" i="6" s="1"/>
  <c r="D25" i="6" s="1"/>
  <c r="D26" i="6" s="1"/>
  <c r="D27" i="6" s="1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B17" i="6"/>
  <c r="B18" i="6"/>
  <c r="B19" i="6" s="1"/>
  <c r="B20" i="6" s="1"/>
  <c r="B21" i="6" s="1"/>
  <c r="B22" i="6" s="1"/>
  <c r="B23" i="6" s="1"/>
  <c r="B24" i="6" s="1"/>
  <c r="B25" i="6" s="1"/>
  <c r="B26" i="6" s="1"/>
  <c r="B27" i="6" s="1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M16" i="6"/>
  <c r="L16" i="6"/>
  <c r="K16" i="6"/>
  <c r="I16" i="6"/>
  <c r="H16" i="6"/>
  <c r="G16" i="6"/>
  <c r="F16" i="6"/>
  <c r="E16" i="6"/>
  <c r="D16" i="6"/>
  <c r="C16" i="6"/>
  <c r="B16" i="6"/>
  <c r="AC17" i="4"/>
  <c r="AC18" i="4" s="1"/>
  <c r="AC19" i="4" s="1"/>
  <c r="AC20" i="4" s="1"/>
  <c r="AC21" i="4"/>
  <c r="AC22" i="4" s="1"/>
  <c r="AC23" i="4" s="1"/>
  <c r="AC24" i="4" s="1"/>
  <c r="AC25" i="4" s="1"/>
  <c r="AC26" i="4" s="1"/>
  <c r="AC27" i="4" s="1"/>
  <c r="AB17" i="4"/>
  <c r="AB18" i="4"/>
  <c r="AB19" i="4" s="1"/>
  <c r="AB20" i="4" s="1"/>
  <c r="AB21" i="4" s="1"/>
  <c r="AB22" i="4"/>
  <c r="AB23" i="4" s="1"/>
  <c r="AB24" i="4" s="1"/>
  <c r="AB25" i="4" s="1"/>
  <c r="AB26" i="4" s="1"/>
  <c r="AB27" i="4" s="1"/>
  <c r="AA17" i="4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Z18" i="4"/>
  <c r="Z19" i="4"/>
  <c r="Z20" i="4" s="1"/>
  <c r="Z21" i="4"/>
  <c r="Z22" i="4" s="1"/>
  <c r="Z23" i="4" s="1"/>
  <c r="Z24" i="4" s="1"/>
  <c r="Z25" i="4" s="1"/>
  <c r="Z26" i="4" s="1"/>
  <c r="Z27" i="4" s="1"/>
  <c r="Y17" i="4"/>
  <c r="Y18" i="4"/>
  <c r="Y19" i="4" s="1"/>
  <c r="Y20" i="4" s="1"/>
  <c r="Y21" i="4" s="1"/>
  <c r="Y22" i="4"/>
  <c r="Y23" i="4" s="1"/>
  <c r="Y24" i="4" s="1"/>
  <c r="Y25" i="4" s="1"/>
  <c r="Y26" i="4" s="1"/>
  <c r="Y27" i="4" s="1"/>
  <c r="X17" i="4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W17" i="4"/>
  <c r="W18" i="4"/>
  <c r="W19" i="4" s="1"/>
  <c r="W20" i="4"/>
  <c r="W21" i="4" s="1"/>
  <c r="W22" i="4" s="1"/>
  <c r="W23" i="4" s="1"/>
  <c r="W24" i="4" s="1"/>
  <c r="W25" i="4" s="1"/>
  <c r="W26" i="4" s="1"/>
  <c r="W27" i="4" s="1"/>
  <c r="V17" i="4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U17" i="4"/>
  <c r="U18" i="4"/>
  <c r="U19" i="4" s="1"/>
  <c r="U20" i="4" s="1"/>
  <c r="U21" i="4" s="1"/>
  <c r="U22" i="4" s="1"/>
  <c r="U23" i="4" s="1"/>
  <c r="U24" i="4" s="1"/>
  <c r="U25" i="4" s="1"/>
  <c r="U26" i="4" s="1"/>
  <c r="U27" i="4" s="1"/>
  <c r="T17" i="4"/>
  <c r="T18" i="4" s="1"/>
  <c r="T19" i="4" s="1"/>
  <c r="T20" i="4" s="1"/>
  <c r="T21" i="4" s="1"/>
  <c r="T22" i="4" s="1"/>
  <c r="T23" i="4"/>
  <c r="T24" i="4" s="1"/>
  <c r="T25" i="4" s="1"/>
  <c r="T26" i="4" s="1"/>
  <c r="T27" i="4" s="1"/>
  <c r="S17" i="4"/>
  <c r="S18" i="4"/>
  <c r="S19" i="4" s="1"/>
  <c r="S20" i="4" s="1"/>
  <c r="S21" i="4" s="1"/>
  <c r="S22" i="4" s="1"/>
  <c r="S23" i="4" s="1"/>
  <c r="S24" i="4" s="1"/>
  <c r="S25" i="4" s="1"/>
  <c r="S26" i="4" s="1"/>
  <c r="S27" i="4" s="1"/>
  <c r="R17" i="4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Q17" i="4"/>
  <c r="Q18" i="4"/>
  <c r="Q19" i="4" s="1"/>
  <c r="Q20" i="4" s="1"/>
  <c r="Q21" i="4" s="1"/>
  <c r="Q22" i="4" s="1"/>
  <c r="Q23" i="4" s="1"/>
  <c r="Q24" i="4" s="1"/>
  <c r="Q25" i="4" s="1"/>
  <c r="Q26" i="4"/>
  <c r="Q27" i="4" s="1"/>
  <c r="P17" i="4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O17" i="4"/>
  <c r="O18" i="4"/>
  <c r="O19" i="4" s="1"/>
  <c r="O20" i="4" s="1"/>
  <c r="O21" i="4" s="1"/>
  <c r="O22" i="4" s="1"/>
  <c r="O23" i="4" s="1"/>
  <c r="O24" i="4" s="1"/>
  <c r="O25" i="4" s="1"/>
  <c r="O26" i="4" s="1"/>
  <c r="O27" i="4" s="1"/>
  <c r="N17" i="4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M17" i="4"/>
  <c r="M18" i="4"/>
  <c r="M19" i="4" s="1"/>
  <c r="M20" i="4" s="1"/>
  <c r="M21" i="4" s="1"/>
  <c r="M22" i="4" s="1"/>
  <c r="M23" i="4" s="1"/>
  <c r="M24" i="4" s="1"/>
  <c r="M25" i="4" s="1"/>
  <c r="M26" i="4" s="1"/>
  <c r="M27" i="4" s="1"/>
  <c r="L17" i="4"/>
  <c r="L18" i="4" s="1"/>
  <c r="L19" i="4" s="1"/>
  <c r="L20" i="4" s="1"/>
  <c r="L21" i="4" s="1"/>
  <c r="L22" i="4" s="1"/>
  <c r="L23" i="4"/>
  <c r="L24" i="4" s="1"/>
  <c r="L25" i="4" s="1"/>
  <c r="L26" i="4" s="1"/>
  <c r="L27" i="4" s="1"/>
  <c r="K17" i="4"/>
  <c r="K18" i="4"/>
  <c r="K19" i="4" s="1"/>
  <c r="K20" i="4" s="1"/>
  <c r="K21" i="4" s="1"/>
  <c r="K22" i="4" s="1"/>
  <c r="K23" i="4" s="1"/>
  <c r="K24" i="4" s="1"/>
  <c r="K25" i="4" s="1"/>
  <c r="K26" i="4" s="1"/>
  <c r="K27" i="4" s="1"/>
  <c r="J17" i="4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I17" i="4"/>
  <c r="I18" i="4"/>
  <c r="I19" i="4" s="1"/>
  <c r="I20" i="4" s="1"/>
  <c r="I21" i="4" s="1"/>
  <c r="I22" i="4" s="1"/>
  <c r="I23" i="4" s="1"/>
  <c r="I24" i="4" s="1"/>
  <c r="I25" i="4" s="1"/>
  <c r="I26" i="4"/>
  <c r="I27" i="4" s="1"/>
  <c r="H17" i="4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G17" i="4"/>
  <c r="G18" i="4"/>
  <c r="G19" i="4" s="1"/>
  <c r="G20" i="4" s="1"/>
  <c r="G21" i="4" s="1"/>
  <c r="G22" i="4" s="1"/>
  <c r="G23" i="4" s="1"/>
  <c r="G24" i="4" s="1"/>
  <c r="G25" i="4" s="1"/>
  <c r="G26" i="4" s="1"/>
  <c r="G27" i="4" s="1"/>
  <c r="F17" i="4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E17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D17" i="4"/>
  <c r="D18" i="4" s="1"/>
  <c r="D19" i="4" s="1"/>
  <c r="D20" i="4" s="1"/>
  <c r="D21" i="4" s="1"/>
  <c r="D22" i="4" s="1"/>
  <c r="D23" i="4"/>
  <c r="D24" i="4" s="1"/>
  <c r="D25" i="4" s="1"/>
  <c r="D26" i="4" s="1"/>
  <c r="D27" i="4" s="1"/>
  <c r="C17" i="4"/>
  <c r="C18" i="4"/>
  <c r="C19" i="4" s="1"/>
  <c r="C20" i="4" s="1"/>
  <c r="C21" i="4" s="1"/>
  <c r="C22" i="4" s="1"/>
  <c r="C23" i="4" s="1"/>
  <c r="C24" i="4" s="1"/>
  <c r="C25" i="4" s="1"/>
  <c r="C26" i="4" s="1"/>
  <c r="C27" i="4" s="1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C17" i="78"/>
  <c r="AC18" i="78"/>
  <c r="AC19" i="78" s="1"/>
  <c r="AC20" i="78" s="1"/>
  <c r="AC21" i="78" s="1"/>
  <c r="AC22" i="78" s="1"/>
  <c r="AC23" i="78" s="1"/>
  <c r="AC24" i="78" s="1"/>
  <c r="AC25" i="78" s="1"/>
  <c r="AC26" i="78"/>
  <c r="AC27" i="78" s="1"/>
  <c r="AB17" i="78"/>
  <c r="AB18" i="78" s="1"/>
  <c r="AB19" i="78" s="1"/>
  <c r="AB20" i="78" s="1"/>
  <c r="AB21" i="78" s="1"/>
  <c r="AB22" i="78" s="1"/>
  <c r="AB23" i="78" s="1"/>
  <c r="AB24" i="78" s="1"/>
  <c r="AB25" i="78" s="1"/>
  <c r="AB26" i="78" s="1"/>
  <c r="AB27" i="78" s="1"/>
  <c r="AA17" i="78"/>
  <c r="AA18" i="78"/>
  <c r="AA19" i="78" s="1"/>
  <c r="AA20" i="78" s="1"/>
  <c r="AA21" i="78" s="1"/>
  <c r="AA22" i="78" s="1"/>
  <c r="AA23" i="78" s="1"/>
  <c r="AA24" i="78" s="1"/>
  <c r="AA25" i="78" s="1"/>
  <c r="AA26" i="78" s="1"/>
  <c r="AA27" i="78" s="1"/>
  <c r="Z18" i="78"/>
  <c r="Z19" i="78" s="1"/>
  <c r="Z20" i="78" s="1"/>
  <c r="Z21" i="78" s="1"/>
  <c r="Z22" i="78" s="1"/>
  <c r="Z23" i="78" s="1"/>
  <c r="Z24" i="78" s="1"/>
  <c r="Z25" i="78" s="1"/>
  <c r="Z26" i="78" s="1"/>
  <c r="Z27" i="78" s="1"/>
  <c r="Y17" i="78"/>
  <c r="Y18" i="78" s="1"/>
  <c r="Y19" i="78" s="1"/>
  <c r="Y20" i="78" s="1"/>
  <c r="Y21" i="78" s="1"/>
  <c r="Y22" i="78" s="1"/>
  <c r="Y23" i="78" s="1"/>
  <c r="Y24" i="78" s="1"/>
  <c r="Y25" i="78" s="1"/>
  <c r="Y26" i="78" s="1"/>
  <c r="Y27" i="78" s="1"/>
  <c r="X17" i="78"/>
  <c r="X18" i="78"/>
  <c r="X19" i="78" s="1"/>
  <c r="X20" i="78" s="1"/>
  <c r="X21" i="78" s="1"/>
  <c r="X22" i="78" s="1"/>
  <c r="X23" i="78" s="1"/>
  <c r="X24" i="78"/>
  <c r="X25" i="78" s="1"/>
  <c r="X26" i="78" s="1"/>
  <c r="X27" i="78" s="1"/>
  <c r="W17" i="78"/>
  <c r="W18" i="78" s="1"/>
  <c r="W19" i="78" s="1"/>
  <c r="W20" i="78" s="1"/>
  <c r="W21" i="78" s="1"/>
  <c r="W22" i="78" s="1"/>
  <c r="W23" i="78" s="1"/>
  <c r="W24" i="78" s="1"/>
  <c r="W25" i="78" s="1"/>
  <c r="W26" i="78" s="1"/>
  <c r="W27" i="78" s="1"/>
  <c r="V17" i="78"/>
  <c r="V18" i="78"/>
  <c r="V19" i="78" s="1"/>
  <c r="V20" i="78" s="1"/>
  <c r="V21" i="78" s="1"/>
  <c r="V22" i="78" s="1"/>
  <c r="V23" i="78" s="1"/>
  <c r="V24" i="78" s="1"/>
  <c r="V25" i="78" s="1"/>
  <c r="V26" i="78" s="1"/>
  <c r="V27" i="78" s="1"/>
  <c r="U17" i="78"/>
  <c r="U18" i="78" s="1"/>
  <c r="U19" i="78" s="1"/>
  <c r="U20" i="78" s="1"/>
  <c r="U21" i="78" s="1"/>
  <c r="U22" i="78" s="1"/>
  <c r="U23" i="78" s="1"/>
  <c r="U24" i="78" s="1"/>
  <c r="U25" i="78" s="1"/>
  <c r="U26" i="78" s="1"/>
  <c r="U27" i="78" s="1"/>
  <c r="T17" i="78"/>
  <c r="T18" i="78"/>
  <c r="T19" i="78" s="1"/>
  <c r="T20" i="78" s="1"/>
  <c r="T21" i="78" s="1"/>
  <c r="T22" i="78" s="1"/>
  <c r="T23" i="78" s="1"/>
  <c r="T24" i="78" s="1"/>
  <c r="T25" i="78" s="1"/>
  <c r="T26" i="78" s="1"/>
  <c r="T27" i="78" s="1"/>
  <c r="S17" i="78"/>
  <c r="S18" i="78" s="1"/>
  <c r="S19" i="78" s="1"/>
  <c r="S20" i="78" s="1"/>
  <c r="S21" i="78"/>
  <c r="S22" i="78" s="1"/>
  <c r="S23" i="78" s="1"/>
  <c r="S24" i="78" s="1"/>
  <c r="S25" i="78" s="1"/>
  <c r="S26" i="78" s="1"/>
  <c r="S27" i="78" s="1"/>
  <c r="R17" i="78"/>
  <c r="R18" i="78"/>
  <c r="R19" i="78" s="1"/>
  <c r="R20" i="78" s="1"/>
  <c r="R21" i="78" s="1"/>
  <c r="R22" i="78" s="1"/>
  <c r="R23" i="78" s="1"/>
  <c r="R24" i="78" s="1"/>
  <c r="R25" i="78" s="1"/>
  <c r="R26" i="78" s="1"/>
  <c r="R27" i="78" s="1"/>
  <c r="Q17" i="78"/>
  <c r="Q18" i="78" s="1"/>
  <c r="Q19" i="78" s="1"/>
  <c r="Q20" i="78" s="1"/>
  <c r="Q21" i="78" s="1"/>
  <c r="Q22" i="78" s="1"/>
  <c r="Q23" i="78" s="1"/>
  <c r="Q24" i="78" s="1"/>
  <c r="Q25" i="78" s="1"/>
  <c r="Q26" i="78" s="1"/>
  <c r="Q27" i="78" s="1"/>
  <c r="P17" i="78"/>
  <c r="P18" i="78"/>
  <c r="P19" i="78" s="1"/>
  <c r="P20" i="78" s="1"/>
  <c r="P21" i="78" s="1"/>
  <c r="P22" i="78" s="1"/>
  <c r="P23" i="78" s="1"/>
  <c r="P24" i="78"/>
  <c r="P25" i="78" s="1"/>
  <c r="P26" i="78" s="1"/>
  <c r="P27" i="78" s="1"/>
  <c r="O17" i="78"/>
  <c r="O18" i="78" s="1"/>
  <c r="O19" i="78" s="1"/>
  <c r="O20" i="78" s="1"/>
  <c r="O21" i="78" s="1"/>
  <c r="O22" i="78" s="1"/>
  <c r="O23" i="78" s="1"/>
  <c r="O24" i="78" s="1"/>
  <c r="O25" i="78" s="1"/>
  <c r="O26" i="78" s="1"/>
  <c r="O27" i="78" s="1"/>
  <c r="N17" i="78"/>
  <c r="N18" i="78"/>
  <c r="N19" i="78" s="1"/>
  <c r="N20" i="78" s="1"/>
  <c r="N21" i="78" s="1"/>
  <c r="N22" i="78" s="1"/>
  <c r="N23" i="78" s="1"/>
  <c r="N24" i="78" s="1"/>
  <c r="N25" i="78" s="1"/>
  <c r="N26" i="78" s="1"/>
  <c r="N27" i="78" s="1"/>
  <c r="M17" i="78"/>
  <c r="M18" i="78" s="1"/>
  <c r="M19" i="78" s="1"/>
  <c r="M20" i="78" s="1"/>
  <c r="M21" i="78" s="1"/>
  <c r="M22" i="78" s="1"/>
  <c r="M23" i="78" s="1"/>
  <c r="M24" i="78" s="1"/>
  <c r="M25" i="78" s="1"/>
  <c r="M26" i="78" s="1"/>
  <c r="M27" i="78" s="1"/>
  <c r="L17" i="78"/>
  <c r="L18" i="78"/>
  <c r="L19" i="78" s="1"/>
  <c r="L20" i="78" s="1"/>
  <c r="L21" i="78" s="1"/>
  <c r="L22" i="78" s="1"/>
  <c r="L23" i="78" s="1"/>
  <c r="L24" i="78" s="1"/>
  <c r="L25" i="78" s="1"/>
  <c r="L26" i="78" s="1"/>
  <c r="L27" i="78" s="1"/>
  <c r="K17" i="78"/>
  <c r="K18" i="78" s="1"/>
  <c r="K19" i="78" s="1"/>
  <c r="K20" i="78" s="1"/>
  <c r="K21" i="78"/>
  <c r="K22" i="78" s="1"/>
  <c r="K23" i="78" s="1"/>
  <c r="K24" i="78" s="1"/>
  <c r="K25" i="78" s="1"/>
  <c r="K26" i="78" s="1"/>
  <c r="K27" i="78" s="1"/>
  <c r="J17" i="78"/>
  <c r="J18" i="78"/>
  <c r="J19" i="78" s="1"/>
  <c r="J20" i="78" s="1"/>
  <c r="J21" i="78" s="1"/>
  <c r="J22" i="78" s="1"/>
  <c r="J23" i="78" s="1"/>
  <c r="J24" i="78" s="1"/>
  <c r="J25" i="78" s="1"/>
  <c r="J26" i="78" s="1"/>
  <c r="J27" i="78" s="1"/>
  <c r="I17" i="78"/>
  <c r="I18" i="78" s="1"/>
  <c r="I19" i="78" s="1"/>
  <c r="I20" i="78" s="1"/>
  <c r="I21" i="78" s="1"/>
  <c r="I22" i="78" s="1"/>
  <c r="I23" i="78" s="1"/>
  <c r="I24" i="78" s="1"/>
  <c r="I25" i="78" s="1"/>
  <c r="I26" i="78" s="1"/>
  <c r="I27" i="78" s="1"/>
  <c r="H17" i="78"/>
  <c r="H18" i="78"/>
  <c r="H19" i="78" s="1"/>
  <c r="H20" i="78" s="1"/>
  <c r="H21" i="78" s="1"/>
  <c r="H22" i="78" s="1"/>
  <c r="H23" i="78" s="1"/>
  <c r="H24" i="78"/>
  <c r="H25" i="78" s="1"/>
  <c r="H26" i="78" s="1"/>
  <c r="H27" i="78" s="1"/>
  <c r="G17" i="78"/>
  <c r="G18" i="78" s="1"/>
  <c r="G19" i="78" s="1"/>
  <c r="G20" i="78" s="1"/>
  <c r="G21" i="78" s="1"/>
  <c r="G22" i="78" s="1"/>
  <c r="G23" i="78" s="1"/>
  <c r="G24" i="78" s="1"/>
  <c r="G25" i="78" s="1"/>
  <c r="G26" i="78" s="1"/>
  <c r="G27" i="78" s="1"/>
  <c r="F17" i="78"/>
  <c r="F18" i="78"/>
  <c r="F19" i="78" s="1"/>
  <c r="F20" i="78" s="1"/>
  <c r="F21" i="78" s="1"/>
  <c r="F22" i="78" s="1"/>
  <c r="F23" i="78" s="1"/>
  <c r="F24" i="78" s="1"/>
  <c r="F25" i="78" s="1"/>
  <c r="F26" i="78" s="1"/>
  <c r="E17" i="78"/>
  <c r="E18" i="78" s="1"/>
  <c r="E19" i="78" s="1"/>
  <c r="E20" i="78" s="1"/>
  <c r="E21" i="78" s="1"/>
  <c r="E22" i="78" s="1"/>
  <c r="E23" i="78" s="1"/>
  <c r="E24" i="78" s="1"/>
  <c r="E25" i="78" s="1"/>
  <c r="E26" i="78" s="1"/>
  <c r="E27" i="78" s="1"/>
  <c r="D17" i="78"/>
  <c r="D18" i="78"/>
  <c r="D19" i="78" s="1"/>
  <c r="D20" i="78" s="1"/>
  <c r="D21" i="78" s="1"/>
  <c r="D22" i="78" s="1"/>
  <c r="D23" i="78" s="1"/>
  <c r="D24" i="78" s="1"/>
  <c r="D25" i="78" s="1"/>
  <c r="D26" i="78" s="1"/>
  <c r="D27" i="78" s="1"/>
  <c r="C17" i="78"/>
  <c r="C18" i="78" s="1"/>
  <c r="C19" i="78" s="1"/>
  <c r="C20" i="78" s="1"/>
  <c r="C21" i="78"/>
  <c r="C22" i="78" s="1"/>
  <c r="C23" i="78" s="1"/>
  <c r="C24" i="78" s="1"/>
  <c r="C25" i="78" s="1"/>
  <c r="C26" i="78" s="1"/>
  <c r="C27" i="78" s="1"/>
  <c r="B17" i="78"/>
  <c r="B18" i="78"/>
  <c r="B19" i="78" s="1"/>
  <c r="B20" i="78" s="1"/>
  <c r="B21" i="78" s="1"/>
  <c r="B22" i="78" s="1"/>
  <c r="B23" i="78" s="1"/>
  <c r="B24" i="78" s="1"/>
  <c r="B25" i="78" s="1"/>
  <c r="B26" i="78" s="1"/>
  <c r="B27" i="78" s="1"/>
  <c r="AC16" i="78"/>
  <c r="AB16" i="78"/>
  <c r="AA16" i="78"/>
  <c r="Z16" i="78"/>
  <c r="Y16" i="78"/>
  <c r="X16" i="78"/>
  <c r="W16" i="78"/>
  <c r="V16" i="78"/>
  <c r="U16" i="78"/>
  <c r="T16" i="78"/>
  <c r="S16" i="78"/>
  <c r="R16" i="78"/>
  <c r="Q16" i="78"/>
  <c r="P16" i="78"/>
  <c r="O16" i="78"/>
  <c r="N16" i="78"/>
  <c r="M16" i="78"/>
  <c r="L16" i="78"/>
  <c r="K16" i="78"/>
  <c r="J16" i="78"/>
  <c r="I16" i="78"/>
  <c r="H16" i="78"/>
  <c r="G16" i="78"/>
  <c r="E16" i="78"/>
  <c r="D16" i="78"/>
  <c r="C16" i="78"/>
  <c r="B16" i="78"/>
  <c r="AC17" i="76"/>
  <c r="AC18" i="76" s="1"/>
  <c r="AC19" i="76" s="1"/>
  <c r="AC20" i="76" s="1"/>
  <c r="AC21" i="76" s="1"/>
  <c r="AC22" i="76" s="1"/>
  <c r="AC23" i="76"/>
  <c r="AC24" i="76" s="1"/>
  <c r="AC25" i="76" s="1"/>
  <c r="AC26" i="76" s="1"/>
  <c r="AC27" i="76" s="1"/>
  <c r="AB17" i="76"/>
  <c r="AB18" i="76"/>
  <c r="AB19" i="76" s="1"/>
  <c r="AB20" i="76" s="1"/>
  <c r="AB21" i="76" s="1"/>
  <c r="AB22" i="76" s="1"/>
  <c r="AB23" i="76" s="1"/>
  <c r="AB24" i="76" s="1"/>
  <c r="AB25" i="76" s="1"/>
  <c r="AB26" i="76" s="1"/>
  <c r="AB27" i="76" s="1"/>
  <c r="AA17" i="76"/>
  <c r="AA18" i="76" s="1"/>
  <c r="AA19" i="76" s="1"/>
  <c r="AA20" i="76" s="1"/>
  <c r="AA21" i="76" s="1"/>
  <c r="AA22" i="76" s="1"/>
  <c r="AA23" i="76" s="1"/>
  <c r="AA24" i="76" s="1"/>
  <c r="AA25" i="76" s="1"/>
  <c r="AA26" i="76" s="1"/>
  <c r="AA27" i="76" s="1"/>
  <c r="Z18" i="76"/>
  <c r="Z19" i="76"/>
  <c r="Z20" i="76" s="1"/>
  <c r="Z21" i="76" s="1"/>
  <c r="Z22" i="76" s="1"/>
  <c r="Z23" i="76" s="1"/>
  <c r="Z24" i="76" s="1"/>
  <c r="Z25" i="76" s="1"/>
  <c r="Z26" i="76" s="1"/>
  <c r="Z27" i="76"/>
  <c r="Y17" i="76"/>
  <c r="Y18" i="76"/>
  <c r="Y19" i="76" s="1"/>
  <c r="Y20" i="76" s="1"/>
  <c r="Y21" i="76" s="1"/>
  <c r="Y22" i="76" s="1"/>
  <c r="Y23" i="76" s="1"/>
  <c r="Y24" i="76" s="1"/>
  <c r="Y25" i="76" s="1"/>
  <c r="Y26" i="76" s="1"/>
  <c r="Y27" i="76" s="1"/>
  <c r="X17" i="76"/>
  <c r="X18" i="76" s="1"/>
  <c r="X19" i="76"/>
  <c r="X20" i="76" s="1"/>
  <c r="X21" i="76" s="1"/>
  <c r="X22" i="76" s="1"/>
  <c r="X23" i="76" s="1"/>
  <c r="X24" i="76" s="1"/>
  <c r="X25" i="76" s="1"/>
  <c r="X26" i="76" s="1"/>
  <c r="X27" i="76" s="1"/>
  <c r="W17" i="76"/>
  <c r="W18" i="76"/>
  <c r="W19" i="76" s="1"/>
  <c r="W20" i="76" s="1"/>
  <c r="W21" i="76" s="1"/>
  <c r="W22" i="76" s="1"/>
  <c r="W23" i="76" s="1"/>
  <c r="W24" i="76" s="1"/>
  <c r="W25" i="76" s="1"/>
  <c r="W26" i="76" s="1"/>
  <c r="W27" i="76" s="1"/>
  <c r="U17" i="76"/>
  <c r="U18" i="76"/>
  <c r="U19" i="76" s="1"/>
  <c r="U20" i="76" s="1"/>
  <c r="U21" i="76" s="1"/>
  <c r="U22" i="76" s="1"/>
  <c r="U23" i="76" s="1"/>
  <c r="U24" i="76"/>
  <c r="U25" i="76" s="1"/>
  <c r="U26" i="76" s="1"/>
  <c r="U27" i="76" s="1"/>
  <c r="T17" i="76"/>
  <c r="T18" i="76" s="1"/>
  <c r="T19" i="76" s="1"/>
  <c r="T20" i="76" s="1"/>
  <c r="T21" i="76" s="1"/>
  <c r="T22" i="76" s="1"/>
  <c r="T23" i="76" s="1"/>
  <c r="T24" i="76" s="1"/>
  <c r="T25" i="76" s="1"/>
  <c r="T26" i="76" s="1"/>
  <c r="T27" i="76" s="1"/>
  <c r="S17" i="76"/>
  <c r="S18" i="76"/>
  <c r="S19" i="76" s="1"/>
  <c r="S20" i="76" s="1"/>
  <c r="S21" i="76" s="1"/>
  <c r="S22" i="76" s="1"/>
  <c r="S23" i="76" s="1"/>
  <c r="S24" i="76" s="1"/>
  <c r="S25" i="76" s="1"/>
  <c r="S26" i="76" s="1"/>
  <c r="S27" i="76" s="1"/>
  <c r="R20" i="76"/>
  <c r="R21" i="76" s="1"/>
  <c r="R22" i="76" s="1"/>
  <c r="R23" i="76" s="1"/>
  <c r="R24" i="76" s="1"/>
  <c r="R25" i="76" s="1"/>
  <c r="R26" i="76" s="1"/>
  <c r="R27" i="76" s="1"/>
  <c r="Q17" i="76"/>
  <c r="Q18" i="76" s="1"/>
  <c r="Q19" i="76" s="1"/>
  <c r="Q20" i="76" s="1"/>
  <c r="Q21" i="76" s="1"/>
  <c r="Q22" i="76" s="1"/>
  <c r="Q23" i="76" s="1"/>
  <c r="Q24" i="76" s="1"/>
  <c r="Q25" i="76" s="1"/>
  <c r="Q26" i="76" s="1"/>
  <c r="Q27" i="76" s="1"/>
  <c r="P17" i="76"/>
  <c r="P18" i="76"/>
  <c r="P19" i="76" s="1"/>
  <c r="P20" i="76" s="1"/>
  <c r="P21" i="76" s="1"/>
  <c r="P22" i="76" s="1"/>
  <c r="P23" i="76" s="1"/>
  <c r="P24" i="76"/>
  <c r="P25" i="76" s="1"/>
  <c r="P26" i="76" s="1"/>
  <c r="P27" i="76" s="1"/>
  <c r="O17" i="76"/>
  <c r="O18" i="76" s="1"/>
  <c r="O19" i="76" s="1"/>
  <c r="O20" i="76" s="1"/>
  <c r="O21" i="76" s="1"/>
  <c r="O22" i="76" s="1"/>
  <c r="O23" i="76" s="1"/>
  <c r="O24" i="76" s="1"/>
  <c r="O25" i="76" s="1"/>
  <c r="O26" i="76" s="1"/>
  <c r="O27" i="76" s="1"/>
  <c r="N17" i="76"/>
  <c r="N18" i="76"/>
  <c r="N19" i="76"/>
  <c r="N20" i="76" s="1"/>
  <c r="N21" i="76" s="1"/>
  <c r="N22" i="76" s="1"/>
  <c r="N23" i="76" s="1"/>
  <c r="N24" i="76" s="1"/>
  <c r="N25" i="76" s="1"/>
  <c r="N26" i="76" s="1"/>
  <c r="N27" i="76" s="1"/>
  <c r="M17" i="76"/>
  <c r="M18" i="76" s="1"/>
  <c r="M19" i="76"/>
  <c r="M20" i="76" s="1"/>
  <c r="M21" i="76" s="1"/>
  <c r="M22" i="76" s="1"/>
  <c r="M23" i="76" s="1"/>
  <c r="M24" i="76" s="1"/>
  <c r="M25" i="76" s="1"/>
  <c r="M26" i="76" s="1"/>
  <c r="M27" i="76" s="1"/>
  <c r="L17" i="76"/>
  <c r="L18" i="76"/>
  <c r="L19" i="76" s="1"/>
  <c r="L20" i="76" s="1"/>
  <c r="L21" i="76" s="1"/>
  <c r="L22" i="76" s="1"/>
  <c r="L23" i="76" s="1"/>
  <c r="L24" i="76" s="1"/>
  <c r="L25" i="76" s="1"/>
  <c r="L26" i="76" s="1"/>
  <c r="L27" i="76" s="1"/>
  <c r="K17" i="76"/>
  <c r="K18" i="76"/>
  <c r="K19" i="76" s="1"/>
  <c r="K20" i="76" s="1"/>
  <c r="K21" i="76" s="1"/>
  <c r="K22" i="76" s="1"/>
  <c r="K23" i="76"/>
  <c r="K24" i="76" s="1"/>
  <c r="K25" i="76" s="1"/>
  <c r="K26" i="76" s="1"/>
  <c r="K27" i="76" s="1"/>
  <c r="J17" i="76"/>
  <c r="J18" i="76"/>
  <c r="J19" i="76" s="1"/>
  <c r="J20" i="76" s="1"/>
  <c r="J21" i="76" s="1"/>
  <c r="J22" i="76" s="1"/>
  <c r="J23" i="76" s="1"/>
  <c r="J24" i="76" s="1"/>
  <c r="J25" i="76" s="1"/>
  <c r="J26" i="76" s="1"/>
  <c r="J27" i="76" s="1"/>
  <c r="I17" i="76"/>
  <c r="I18" i="76" s="1"/>
  <c r="I19" i="76" s="1"/>
  <c r="I20" i="76" s="1"/>
  <c r="I21" i="76" s="1"/>
  <c r="I22" i="76" s="1"/>
  <c r="I23" i="76" s="1"/>
  <c r="I24" i="76" s="1"/>
  <c r="I25" i="76" s="1"/>
  <c r="I26" i="76" s="1"/>
  <c r="I27" i="76" s="1"/>
  <c r="H17" i="76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G17" i="76"/>
  <c r="G18" i="76" s="1"/>
  <c r="G19" i="76" s="1"/>
  <c r="G20" i="76" s="1"/>
  <c r="G21" i="76"/>
  <c r="G22" i="76" s="1"/>
  <c r="G23" i="76" s="1"/>
  <c r="G24" i="76" s="1"/>
  <c r="G25" i="76" s="1"/>
  <c r="G26" i="76" s="1"/>
  <c r="G27" i="76" s="1"/>
  <c r="F17" i="76"/>
  <c r="F18" i="76"/>
  <c r="F19" i="76"/>
  <c r="F20" i="76" s="1"/>
  <c r="F21" i="76" s="1"/>
  <c r="F22" i="76" s="1"/>
  <c r="F23" i="76" s="1"/>
  <c r="F24" i="76" s="1"/>
  <c r="F25" i="76" s="1"/>
  <c r="F26" i="76" s="1"/>
  <c r="E17" i="76"/>
  <c r="E18" i="76" s="1"/>
  <c r="E19" i="76"/>
  <c r="E20" i="76" s="1"/>
  <c r="E21" i="76" s="1"/>
  <c r="E22" i="76" s="1"/>
  <c r="E23" i="76" s="1"/>
  <c r="E24" i="76"/>
  <c r="E25" i="76" s="1"/>
  <c r="E26" i="76" s="1"/>
  <c r="E27" i="76" s="1"/>
  <c r="D17" i="76"/>
  <c r="D18" i="76"/>
  <c r="D19" i="76" s="1"/>
  <c r="D20" i="76" s="1"/>
  <c r="D21" i="76" s="1"/>
  <c r="D22" i="76" s="1"/>
  <c r="D23" i="76" s="1"/>
  <c r="D24" i="76" s="1"/>
  <c r="D25" i="76" s="1"/>
  <c r="D26" i="76" s="1"/>
  <c r="D27" i="76" s="1"/>
  <c r="C17" i="76"/>
  <c r="C18" i="76"/>
  <c r="C19" i="76" s="1"/>
  <c r="C20" i="76" s="1"/>
  <c r="C21" i="76" s="1"/>
  <c r="C22" i="76" s="1"/>
  <c r="C23" i="76" s="1"/>
  <c r="C24" i="76" s="1"/>
  <c r="C25" i="76" s="1"/>
  <c r="C26" i="76" s="1"/>
  <c r="C27" i="76" s="1"/>
  <c r="B17" i="76"/>
  <c r="B18" i="76"/>
  <c r="B19" i="76" s="1"/>
  <c r="B20" i="76" s="1"/>
  <c r="B21" i="76" s="1"/>
  <c r="B22" i="76" s="1"/>
  <c r="B23" i="76" s="1"/>
  <c r="B24" i="76" s="1"/>
  <c r="B25" i="76" s="1"/>
  <c r="B26" i="76" s="1"/>
  <c r="B27" i="76" s="1"/>
  <c r="AC16" i="76"/>
  <c r="AB16" i="76"/>
  <c r="AA16" i="76"/>
  <c r="Z16" i="76"/>
  <c r="Y16" i="76"/>
  <c r="X16" i="76"/>
  <c r="W16" i="76"/>
  <c r="V16" i="76"/>
  <c r="U16" i="76"/>
  <c r="T16" i="76"/>
  <c r="S16" i="76"/>
  <c r="R16" i="76"/>
  <c r="Q16" i="76"/>
  <c r="P16" i="76"/>
  <c r="O16" i="76"/>
  <c r="N16" i="76"/>
  <c r="M16" i="76"/>
  <c r="L16" i="76"/>
  <c r="K16" i="76"/>
  <c r="J16" i="76"/>
  <c r="I16" i="76"/>
  <c r="H16" i="76"/>
  <c r="G16" i="76"/>
  <c r="F16" i="76"/>
  <c r="E16" i="76"/>
  <c r="D16" i="76"/>
  <c r="C16" i="76"/>
  <c r="B16" i="76"/>
  <c r="Y17" i="73"/>
  <c r="Y18" i="73" s="1"/>
  <c r="Y19" i="73" s="1"/>
  <c r="Y20" i="73" s="1"/>
  <c r="Y21" i="73"/>
  <c r="Y22" i="73" s="1"/>
  <c r="Y23" i="73" s="1"/>
  <c r="Y24" i="73" s="1"/>
  <c r="Y25" i="73" s="1"/>
  <c r="Y26" i="73" s="1"/>
  <c r="Y27" i="73" s="1"/>
  <c r="X17" i="73"/>
  <c r="X18" i="73" s="1"/>
  <c r="X19" i="73" s="1"/>
  <c r="X20" i="73" s="1"/>
  <c r="X21" i="73" s="1"/>
  <c r="X22" i="73" s="1"/>
  <c r="X23" i="73" s="1"/>
  <c r="X24" i="73" s="1"/>
  <c r="X25" i="73" s="1"/>
  <c r="X26" i="73" s="1"/>
  <c r="X27" i="73" s="1"/>
  <c r="W17" i="73"/>
  <c r="W18" i="73" s="1"/>
  <c r="W19" i="73" s="1"/>
  <c r="W20" i="73" s="1"/>
  <c r="W21" i="73" s="1"/>
  <c r="W22" i="73" s="1"/>
  <c r="W23" i="73" s="1"/>
  <c r="W24" i="73" s="1"/>
  <c r="W25" i="73" s="1"/>
  <c r="W26" i="73" s="1"/>
  <c r="W27" i="73" s="1"/>
  <c r="V20" i="73"/>
  <c r="V21" i="73"/>
  <c r="V22" i="73"/>
  <c r="V23" i="73" s="1"/>
  <c r="V24" i="73" s="1"/>
  <c r="V25" i="73" s="1"/>
  <c r="V26" i="73" s="1"/>
  <c r="V27" i="73" s="1"/>
  <c r="U17" i="73"/>
  <c r="U18" i="73"/>
  <c r="U19" i="73" s="1"/>
  <c r="U20" i="73" s="1"/>
  <c r="U21" i="73" s="1"/>
  <c r="U22" i="73" s="1"/>
  <c r="U23" i="73" s="1"/>
  <c r="U24" i="73" s="1"/>
  <c r="U25" i="73" s="1"/>
  <c r="U26" i="73" s="1"/>
  <c r="U27" i="73" s="1"/>
  <c r="T17" i="73"/>
  <c r="T18" i="73" s="1"/>
  <c r="T19" i="73" s="1"/>
  <c r="T20" i="73" s="1"/>
  <c r="T21" i="73" s="1"/>
  <c r="T22" i="73" s="1"/>
  <c r="T23" i="73" s="1"/>
  <c r="T24" i="73" s="1"/>
  <c r="T25" i="73" s="1"/>
  <c r="T26" i="73" s="1"/>
  <c r="T27" i="73" s="1"/>
  <c r="S17" i="73"/>
  <c r="S18" i="73" s="1"/>
  <c r="S19" i="73" s="1"/>
  <c r="S20" i="73"/>
  <c r="S21" i="73" s="1"/>
  <c r="S22" i="73" s="1"/>
  <c r="S23" i="73" s="1"/>
  <c r="S24" i="73" s="1"/>
  <c r="S25" i="73" s="1"/>
  <c r="S26" i="73" s="1"/>
  <c r="S27" i="73" s="1"/>
  <c r="R20" i="73"/>
  <c r="R21" i="73" s="1"/>
  <c r="R22" i="73" s="1"/>
  <c r="R23" i="73" s="1"/>
  <c r="R24" i="73" s="1"/>
  <c r="R25" i="73" s="1"/>
  <c r="R26" i="73" s="1"/>
  <c r="R27" i="73" s="1"/>
  <c r="Q17" i="73"/>
  <c r="Q18" i="73" s="1"/>
  <c r="Q19" i="73" s="1"/>
  <c r="Q20" i="73" s="1"/>
  <c r="Q21" i="73" s="1"/>
  <c r="Q22" i="73" s="1"/>
  <c r="Q23" i="73" s="1"/>
  <c r="Q24" i="73" s="1"/>
  <c r="Q25" i="73" s="1"/>
  <c r="Q26" i="73" s="1"/>
  <c r="Q27" i="73" s="1"/>
  <c r="P17" i="73"/>
  <c r="P18" i="73"/>
  <c r="P19" i="73" s="1"/>
  <c r="P20" i="73" s="1"/>
  <c r="P21" i="73" s="1"/>
  <c r="P22" i="73" s="1"/>
  <c r="P23" i="73" s="1"/>
  <c r="P24" i="73" s="1"/>
  <c r="P25" i="73" s="1"/>
  <c r="P26" i="73" s="1"/>
  <c r="P27" i="73" s="1"/>
  <c r="O17" i="73"/>
  <c r="O18" i="73" s="1"/>
  <c r="O19" i="73" s="1"/>
  <c r="O20" i="73"/>
  <c r="O21" i="73" s="1"/>
  <c r="O22" i="73" s="1"/>
  <c r="O23" i="73" s="1"/>
  <c r="O24" i="73" s="1"/>
  <c r="O25" i="73" s="1"/>
  <c r="O26" i="73" s="1"/>
  <c r="O27" i="73" s="1"/>
  <c r="N23" i="73"/>
  <c r="N24" i="73" s="1"/>
  <c r="N25" i="73" s="1"/>
  <c r="N26" i="73" s="1"/>
  <c r="N27" i="73" s="1"/>
  <c r="M17" i="73"/>
  <c r="M18" i="73" s="1"/>
  <c r="M19" i="73" s="1"/>
  <c r="M20" i="73" s="1"/>
  <c r="M21" i="73" s="1"/>
  <c r="M22" i="73"/>
  <c r="M23" i="73" s="1"/>
  <c r="M24" i="73" s="1"/>
  <c r="M25" i="73" s="1"/>
  <c r="M26" i="73" s="1"/>
  <c r="M27" i="73" s="1"/>
  <c r="L17" i="73"/>
  <c r="L18" i="73" s="1"/>
  <c r="L19" i="73" s="1"/>
  <c r="L20" i="73" s="1"/>
  <c r="L21" i="73" s="1"/>
  <c r="L22" i="73" s="1"/>
  <c r="L23" i="73" s="1"/>
  <c r="L24" i="73" s="1"/>
  <c r="L25" i="73" s="1"/>
  <c r="L26" i="73" s="1"/>
  <c r="L27" i="73" s="1"/>
  <c r="K17" i="73"/>
  <c r="K18" i="73"/>
  <c r="K19" i="73" s="1"/>
  <c r="K20" i="73" s="1"/>
  <c r="K21" i="73" s="1"/>
  <c r="K22" i="73" s="1"/>
  <c r="K23" i="73" s="1"/>
  <c r="K24" i="73" s="1"/>
  <c r="K25" i="73" s="1"/>
  <c r="K26" i="73" s="1"/>
  <c r="K27" i="73" s="1"/>
  <c r="J20" i="73"/>
  <c r="J21" i="73" s="1"/>
  <c r="J22" i="73" s="1"/>
  <c r="J23" i="73" s="1"/>
  <c r="J24" i="73" s="1"/>
  <c r="J25" i="73" s="1"/>
  <c r="J26" i="73" s="1"/>
  <c r="J27" i="73" s="1"/>
  <c r="I17" i="73"/>
  <c r="I18" i="73" s="1"/>
  <c r="I19" i="73" s="1"/>
  <c r="I20" i="73" s="1"/>
  <c r="I21" i="73" s="1"/>
  <c r="I22" i="73" s="1"/>
  <c r="I23" i="73" s="1"/>
  <c r="I24" i="73" s="1"/>
  <c r="I25" i="73" s="1"/>
  <c r="I26" i="73" s="1"/>
  <c r="I27" i="73" s="1"/>
  <c r="H17" i="73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G17" i="73"/>
  <c r="G18" i="73" s="1"/>
  <c r="G19" i="73" s="1"/>
  <c r="G20" i="73" s="1"/>
  <c r="G21" i="73" s="1"/>
  <c r="G22" i="73" s="1"/>
  <c r="G23" i="73" s="1"/>
  <c r="G24" i="73" s="1"/>
  <c r="G25" i="73" s="1"/>
  <c r="G26" i="73" s="1"/>
  <c r="G27" i="73" s="1"/>
  <c r="F20" i="73"/>
  <c r="F21" i="73"/>
  <c r="F22" i="73" s="1"/>
  <c r="F23" i="73" s="1"/>
  <c r="F24" i="73" s="1"/>
  <c r="F25" i="73" s="1"/>
  <c r="F26" i="73" s="1"/>
  <c r="F27" i="73" s="1"/>
  <c r="E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D17" i="73"/>
  <c r="D18" i="73" s="1"/>
  <c r="D19" i="73" s="1"/>
  <c r="D20" i="73" s="1"/>
  <c r="D21" i="73" s="1"/>
  <c r="D22" i="73" s="1"/>
  <c r="D23" i="73" s="1"/>
  <c r="D24" i="73" s="1"/>
  <c r="D25" i="73" s="1"/>
  <c r="D26" i="73" s="1"/>
  <c r="D27" i="73" s="1"/>
  <c r="C17" i="73"/>
  <c r="C18" i="73" s="1"/>
  <c r="C19" i="73" s="1"/>
  <c r="C20" i="73" s="1"/>
  <c r="C21" i="73"/>
  <c r="C22" i="73" s="1"/>
  <c r="C23" i="73" s="1"/>
  <c r="C24" i="73" s="1"/>
  <c r="C25" i="73" s="1"/>
  <c r="C26" i="73" s="1"/>
  <c r="C27" i="73" s="1"/>
  <c r="B20" i="73"/>
  <c r="B21" i="73" s="1"/>
  <c r="B22" i="73" s="1"/>
  <c r="B23" i="73" s="1"/>
  <c r="B24" i="73" s="1"/>
  <c r="B25" i="73" s="1"/>
  <c r="B26" i="73" s="1"/>
  <c r="B27" i="73" s="1"/>
  <c r="Y16" i="73"/>
  <c r="X16" i="73"/>
  <c r="W16" i="73"/>
  <c r="V16" i="73"/>
  <c r="U16" i="73"/>
  <c r="T16" i="73"/>
  <c r="S16" i="73"/>
  <c r="R16" i="73"/>
  <c r="Q16" i="73"/>
  <c r="P16" i="73"/>
  <c r="O16" i="73"/>
  <c r="N16" i="73"/>
  <c r="M16" i="73"/>
  <c r="L16" i="73"/>
  <c r="K16" i="73"/>
  <c r="J16" i="73"/>
  <c r="I16" i="73"/>
  <c r="H16" i="73"/>
  <c r="G16" i="73"/>
  <c r="F16" i="73"/>
  <c r="E16" i="73"/>
  <c r="D16" i="73"/>
  <c r="C16" i="73"/>
  <c r="B16" i="73"/>
  <c r="AC17" i="69"/>
  <c r="AC18" i="69"/>
  <c r="AC19" i="69" s="1"/>
  <c r="AC20" i="69" s="1"/>
  <c r="AC21" i="69" s="1"/>
  <c r="AC22" i="69" s="1"/>
  <c r="AC23" i="69" s="1"/>
  <c r="AC24" i="69" s="1"/>
  <c r="AC25" i="69" s="1"/>
  <c r="AC26" i="69" s="1"/>
  <c r="AC27" i="69" s="1"/>
  <c r="AB17" i="69"/>
  <c r="AB18" i="69"/>
  <c r="AB19" i="69" s="1"/>
  <c r="AB20" i="69" s="1"/>
  <c r="AB21" i="69" s="1"/>
  <c r="AB22" i="69" s="1"/>
  <c r="AB23" i="69" s="1"/>
  <c r="AB24" i="69" s="1"/>
  <c r="AB25" i="69" s="1"/>
  <c r="AB26" i="69" s="1"/>
  <c r="AB27" i="69" s="1"/>
  <c r="AA17" i="69"/>
  <c r="AA18" i="69" s="1"/>
  <c r="AA19" i="69" s="1"/>
  <c r="AA20" i="69" s="1"/>
  <c r="AA21" i="69"/>
  <c r="AA22" i="69" s="1"/>
  <c r="AA23" i="69" s="1"/>
  <c r="AA24" i="69" s="1"/>
  <c r="AA25" i="69" s="1"/>
  <c r="AA26" i="69" s="1"/>
  <c r="AA27" i="69" s="1"/>
  <c r="Z18" i="69"/>
  <c r="Z19" i="69" s="1"/>
  <c r="Z20" i="69" s="1"/>
  <c r="Z21" i="69" s="1"/>
  <c r="Z22" i="69" s="1"/>
  <c r="Z23" i="69" s="1"/>
  <c r="Z24" i="69" s="1"/>
  <c r="Z25" i="69" s="1"/>
  <c r="Z26" i="69" s="1"/>
  <c r="Z27" i="69" s="1"/>
  <c r="Y17" i="69"/>
  <c r="Y18" i="69"/>
  <c r="Y19" i="69" s="1"/>
  <c r="Y20" i="69" s="1"/>
  <c r="Y21" i="69" s="1"/>
  <c r="Y22" i="69" s="1"/>
  <c r="Y23" i="69" s="1"/>
  <c r="Y24" i="69" s="1"/>
  <c r="Y25" i="69" s="1"/>
  <c r="Y26" i="69"/>
  <c r="Y27" i="69" s="1"/>
  <c r="X17" i="69"/>
  <c r="X18" i="69" s="1"/>
  <c r="X19" i="69" s="1"/>
  <c r="X20" i="69" s="1"/>
  <c r="X21" i="69" s="1"/>
  <c r="X22" i="69" s="1"/>
  <c r="X23" i="69" s="1"/>
  <c r="X24" i="69" s="1"/>
  <c r="X25" i="69" s="1"/>
  <c r="X26" i="69" s="1"/>
  <c r="X27" i="69" s="1"/>
  <c r="W17" i="69"/>
  <c r="W18" i="69" s="1"/>
  <c r="W19" i="69" s="1"/>
  <c r="W20" i="69" s="1"/>
  <c r="W21" i="69" s="1"/>
  <c r="W22" i="69" s="1"/>
  <c r="W23" i="69" s="1"/>
  <c r="W24" i="69" s="1"/>
  <c r="W25" i="69" s="1"/>
  <c r="W26" i="69" s="1"/>
  <c r="W27" i="69" s="1"/>
  <c r="V17" i="69"/>
  <c r="V18" i="69" s="1"/>
  <c r="V19" i="69"/>
  <c r="V20" i="69" s="1"/>
  <c r="V21" i="69" s="1"/>
  <c r="V22" i="69" s="1"/>
  <c r="V23" i="69" s="1"/>
  <c r="V24" i="69" s="1"/>
  <c r="V25" i="69" s="1"/>
  <c r="V26" i="69" s="1"/>
  <c r="V27" i="69" s="1"/>
  <c r="U17" i="69"/>
  <c r="U18" i="69"/>
  <c r="U19" i="69" s="1"/>
  <c r="U20" i="69" s="1"/>
  <c r="U21" i="69" s="1"/>
  <c r="U22" i="69" s="1"/>
  <c r="U23" i="69"/>
  <c r="U24" i="69" s="1"/>
  <c r="U25" i="69" s="1"/>
  <c r="U26" i="69" s="1"/>
  <c r="U27" i="69" s="1"/>
  <c r="T17" i="69"/>
  <c r="T18" i="69" s="1"/>
  <c r="T19" i="69" s="1"/>
  <c r="T20" i="69" s="1"/>
  <c r="T21" i="69" s="1"/>
  <c r="T22" i="69" s="1"/>
  <c r="T23" i="69" s="1"/>
  <c r="T24" i="69" s="1"/>
  <c r="T25" i="69" s="1"/>
  <c r="T26" i="69" s="1"/>
  <c r="T27" i="69" s="1"/>
  <c r="S17" i="69"/>
  <c r="S18" i="69" s="1"/>
  <c r="S19" i="69" s="1"/>
  <c r="S20" i="69" s="1"/>
  <c r="S21" i="69" s="1"/>
  <c r="S22" i="69"/>
  <c r="S23" i="69" s="1"/>
  <c r="S24" i="69" s="1"/>
  <c r="S25" i="69" s="1"/>
  <c r="S26" i="69" s="1"/>
  <c r="S27" i="69" s="1"/>
  <c r="R17" i="69"/>
  <c r="R18" i="69" s="1"/>
  <c r="R19" i="69" s="1"/>
  <c r="R20" i="69" s="1"/>
  <c r="R21" i="69" s="1"/>
  <c r="R22" i="69" s="1"/>
  <c r="R23" i="69" s="1"/>
  <c r="R24" i="69" s="1"/>
  <c r="R25" i="69" s="1"/>
  <c r="R26" i="69" s="1"/>
  <c r="R27" i="69" s="1"/>
  <c r="Q17" i="69"/>
  <c r="Q18" i="69"/>
  <c r="Q19" i="69" s="1"/>
  <c r="Q20" i="69" s="1"/>
  <c r="Q21" i="69" s="1"/>
  <c r="Q22" i="69" s="1"/>
  <c r="Q23" i="69" s="1"/>
  <c r="Q24" i="69" s="1"/>
  <c r="Q25" i="69" s="1"/>
  <c r="Q26" i="69" s="1"/>
  <c r="Q27" i="69" s="1"/>
  <c r="P17" i="69"/>
  <c r="P18" i="69" s="1"/>
  <c r="P19" i="69" s="1"/>
  <c r="P20" i="69" s="1"/>
  <c r="P21" i="69" s="1"/>
  <c r="P22" i="69" s="1"/>
  <c r="P23" i="69" s="1"/>
  <c r="P24" i="69" s="1"/>
  <c r="P25" i="69" s="1"/>
  <c r="P26" i="69" s="1"/>
  <c r="P27" i="69" s="1"/>
  <c r="O17" i="69"/>
  <c r="O18" i="69" s="1"/>
  <c r="O19" i="69" s="1"/>
  <c r="O20" i="69"/>
  <c r="O21" i="69" s="1"/>
  <c r="O22" i="69" s="1"/>
  <c r="O23" i="69" s="1"/>
  <c r="O24" i="69" s="1"/>
  <c r="O25" i="69" s="1"/>
  <c r="O26" i="69" s="1"/>
  <c r="O27" i="69" s="1"/>
  <c r="N17" i="69"/>
  <c r="N18" i="69" s="1"/>
  <c r="N19" i="69" s="1"/>
  <c r="N20" i="69" s="1"/>
  <c r="N21" i="69" s="1"/>
  <c r="N22" i="69" s="1"/>
  <c r="N23" i="69" s="1"/>
  <c r="N24" i="69" s="1"/>
  <c r="N25" i="69"/>
  <c r="N26" i="69" s="1"/>
  <c r="N27" i="69" s="1"/>
  <c r="M17" i="69"/>
  <c r="M18" i="69"/>
  <c r="M19" i="69" s="1"/>
  <c r="M20" i="69" s="1"/>
  <c r="M21" i="69" s="1"/>
  <c r="M22" i="69" s="1"/>
  <c r="M23" i="69" s="1"/>
  <c r="M24" i="69" s="1"/>
  <c r="M25" i="69" s="1"/>
  <c r="M26" i="69" s="1"/>
  <c r="M27" i="69" s="1"/>
  <c r="L17" i="69"/>
  <c r="L18" i="69" s="1"/>
  <c r="L19" i="69" s="1"/>
  <c r="L20" i="69" s="1"/>
  <c r="L21" i="69" s="1"/>
  <c r="L22" i="69" s="1"/>
  <c r="L23" i="69" s="1"/>
  <c r="L24" i="69" s="1"/>
  <c r="L25" i="69" s="1"/>
  <c r="L26" i="69" s="1"/>
  <c r="L27" i="69" s="1"/>
  <c r="K17" i="69"/>
  <c r="K18" i="69" s="1"/>
  <c r="K19" i="69" s="1"/>
  <c r="K20" i="69" s="1"/>
  <c r="K21" i="69" s="1"/>
  <c r="K22" i="69" s="1"/>
  <c r="K23" i="69" s="1"/>
  <c r="K24" i="69" s="1"/>
  <c r="K25" i="69" s="1"/>
  <c r="K26" i="69" s="1"/>
  <c r="K27" i="69" s="1"/>
  <c r="J17" i="69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I17" i="69"/>
  <c r="I18" i="69"/>
  <c r="I19" i="69" s="1"/>
  <c r="I20" i="69" s="1"/>
  <c r="I21" i="69" s="1"/>
  <c r="I22" i="69" s="1"/>
  <c r="I23" i="69" s="1"/>
  <c r="I24" i="69" s="1"/>
  <c r="I25" i="69" s="1"/>
  <c r="I26" i="69" s="1"/>
  <c r="I27" i="69" s="1"/>
  <c r="H17" i="69"/>
  <c r="H18" i="69" s="1"/>
  <c r="H19" i="69" s="1"/>
  <c r="H20" i="69"/>
  <c r="H21" i="69" s="1"/>
  <c r="H22" i="69" s="1"/>
  <c r="H23" i="69" s="1"/>
  <c r="H24" i="69" s="1"/>
  <c r="H25" i="69" s="1"/>
  <c r="H26" i="69" s="1"/>
  <c r="H27" i="69" s="1"/>
  <c r="G17" i="69"/>
  <c r="G18" i="69" s="1"/>
  <c r="G19" i="69" s="1"/>
  <c r="G20" i="69" s="1"/>
  <c r="G21" i="69" s="1"/>
  <c r="G22" i="69" s="1"/>
  <c r="G23" i="69" s="1"/>
  <c r="G24" i="69" s="1"/>
  <c r="G25" i="69" s="1"/>
  <c r="G26" i="69" s="1"/>
  <c r="G27" i="69" s="1"/>
  <c r="F17" i="69"/>
  <c r="F18" i="69" s="1"/>
  <c r="F19" i="69" s="1"/>
  <c r="F20" i="69" s="1"/>
  <c r="F21" i="69" s="1"/>
  <c r="F22" i="69" s="1"/>
  <c r="F23" i="69" s="1"/>
  <c r="F24" i="69" s="1"/>
  <c r="F25" i="69" s="1"/>
  <c r="F26" i="69" s="1"/>
  <c r="E17" i="69"/>
  <c r="E18" i="69"/>
  <c r="E19" i="69" s="1"/>
  <c r="E20" i="69" s="1"/>
  <c r="E21" i="69" s="1"/>
  <c r="E22" i="69" s="1"/>
  <c r="E23" i="69" s="1"/>
  <c r="E24" i="69" s="1"/>
  <c r="E25" i="69" s="1"/>
  <c r="E26" i="69" s="1"/>
  <c r="E27" i="69" s="1"/>
  <c r="D17" i="69"/>
  <c r="D18" i="69" s="1"/>
  <c r="D19" i="69" s="1"/>
  <c r="D20" i="69" s="1"/>
  <c r="D21" i="69" s="1"/>
  <c r="D22" i="69" s="1"/>
  <c r="D23" i="69"/>
  <c r="D24" i="69" s="1"/>
  <c r="D25" i="69" s="1"/>
  <c r="D26" i="69" s="1"/>
  <c r="D27" i="69" s="1"/>
  <c r="C17" i="69"/>
  <c r="C18" i="69" s="1"/>
  <c r="C19" i="69" s="1"/>
  <c r="C20" i="69" s="1"/>
  <c r="C21" i="69" s="1"/>
  <c r="C22" i="69" s="1"/>
  <c r="C23" i="69" s="1"/>
  <c r="C24" i="69" s="1"/>
  <c r="C25" i="69" s="1"/>
  <c r="C26" i="69" s="1"/>
  <c r="C27" i="69" s="1"/>
  <c r="B17" i="69"/>
  <c r="B18" i="69" s="1"/>
  <c r="B19" i="69" s="1"/>
  <c r="B20" i="69" s="1"/>
  <c r="B21" i="69" s="1"/>
  <c r="B22" i="69"/>
  <c r="B23" i="69" s="1"/>
  <c r="B24" i="69" s="1"/>
  <c r="B25" i="69" s="1"/>
  <c r="B26" i="69" s="1"/>
  <c r="B27" i="69" s="1"/>
  <c r="AC16" i="69"/>
  <c r="AB16" i="69"/>
  <c r="AA16" i="69"/>
  <c r="Z16" i="69"/>
  <c r="Y16" i="69"/>
  <c r="X16" i="69"/>
  <c r="W16" i="69"/>
  <c r="V16" i="69"/>
  <c r="U16" i="69"/>
  <c r="T16" i="69"/>
  <c r="S16" i="69"/>
  <c r="R16" i="69"/>
  <c r="Q16" i="69"/>
  <c r="P16" i="69"/>
  <c r="O16" i="69"/>
  <c r="N16" i="69"/>
  <c r="M16" i="69"/>
  <c r="L16" i="69"/>
  <c r="K16" i="69"/>
  <c r="J16" i="69"/>
  <c r="I16" i="69"/>
  <c r="H16" i="69"/>
  <c r="G16" i="69"/>
  <c r="F16" i="69"/>
  <c r="E16" i="69"/>
  <c r="D16" i="69"/>
  <c r="C16" i="69"/>
  <c r="B16" i="69"/>
  <c r="AC17" i="67"/>
  <c r="AC18" i="67"/>
  <c r="AC19" i="67" s="1"/>
  <c r="AC20" i="67"/>
  <c r="AC21" i="67" s="1"/>
  <c r="AC22" i="67" s="1"/>
  <c r="AC23" i="67" s="1"/>
  <c r="AC24" i="67" s="1"/>
  <c r="AC25" i="67" s="1"/>
  <c r="AC26" i="67" s="1"/>
  <c r="AC27" i="67" s="1"/>
  <c r="AB17" i="67"/>
  <c r="AB18" i="67" s="1"/>
  <c r="AB19" i="67" s="1"/>
  <c r="AB20" i="67" s="1"/>
  <c r="AB21" i="67" s="1"/>
  <c r="AB22" i="67" s="1"/>
  <c r="AB23" i="67" s="1"/>
  <c r="AB24" i="67" s="1"/>
  <c r="AB25" i="67"/>
  <c r="AB26" i="67" s="1"/>
  <c r="AB27" i="67" s="1"/>
  <c r="AA17" i="67"/>
  <c r="AA18" i="67" s="1"/>
  <c r="AA19" i="67" s="1"/>
  <c r="AA20" i="67" s="1"/>
  <c r="AA21" i="67" s="1"/>
  <c r="AA22" i="67" s="1"/>
  <c r="AA23" i="67" s="1"/>
  <c r="AA24" i="67" s="1"/>
  <c r="AA25" i="67" s="1"/>
  <c r="AA26" i="67" s="1"/>
  <c r="AA27" i="67" s="1"/>
  <c r="Z18" i="67"/>
  <c r="Z19" i="67" s="1"/>
  <c r="Z20" i="67" s="1"/>
  <c r="Z21" i="67" s="1"/>
  <c r="Z22" i="67" s="1"/>
  <c r="Z23" i="67" s="1"/>
  <c r="Z24" i="67" s="1"/>
  <c r="Z25" i="67" s="1"/>
  <c r="Z26" i="67" s="1"/>
  <c r="Z27" i="67" s="1"/>
  <c r="Y17" i="67"/>
  <c r="Y18" i="67" s="1"/>
  <c r="Y19" i="67" s="1"/>
  <c r="Y20" i="67"/>
  <c r="Y21" i="67" s="1"/>
  <c r="Y22" i="67" s="1"/>
  <c r="Y23" i="67" s="1"/>
  <c r="Y24" i="67" s="1"/>
  <c r="Y25" i="67" s="1"/>
  <c r="Y26" i="67" s="1"/>
  <c r="Y27" i="67" s="1"/>
  <c r="X17" i="67"/>
  <c r="X18" i="67" s="1"/>
  <c r="X19" i="67" s="1"/>
  <c r="X20" i="67" s="1"/>
  <c r="X21" i="67" s="1"/>
  <c r="X22" i="67" s="1"/>
  <c r="X23" i="67" s="1"/>
  <c r="X24" i="67" s="1"/>
  <c r="X25" i="67"/>
  <c r="X26" i="67" s="1"/>
  <c r="X27" i="67" s="1"/>
  <c r="W17" i="67"/>
  <c r="W18" i="67" s="1"/>
  <c r="W19" i="67" s="1"/>
  <c r="W20" i="67" s="1"/>
  <c r="W21" i="67" s="1"/>
  <c r="W22" i="67" s="1"/>
  <c r="W23" i="67" s="1"/>
  <c r="W24" i="67" s="1"/>
  <c r="W25" i="67" s="1"/>
  <c r="W26" i="67" s="1"/>
  <c r="W27" i="67" s="1"/>
  <c r="V20" i="67"/>
  <c r="V21" i="67"/>
  <c r="V22" i="67" s="1"/>
  <c r="V23" i="67" s="1"/>
  <c r="V24" i="67" s="1"/>
  <c r="V25" i="67" s="1"/>
  <c r="V26" i="67" s="1"/>
  <c r="V27" i="67" s="1"/>
  <c r="U17" i="67"/>
  <c r="U18" i="67"/>
  <c r="U19" i="67"/>
  <c r="U20" i="67" s="1"/>
  <c r="U21" i="67" s="1"/>
  <c r="U22" i="67" s="1"/>
  <c r="U23" i="67" s="1"/>
  <c r="U24" i="67" s="1"/>
  <c r="U25" i="67" s="1"/>
  <c r="U26" i="67" s="1"/>
  <c r="U27" i="67" s="1"/>
  <c r="T17" i="67"/>
  <c r="T18" i="67" s="1"/>
  <c r="T19" i="67"/>
  <c r="T20" i="67" s="1"/>
  <c r="T21" i="67" s="1"/>
  <c r="T22" i="67" s="1"/>
  <c r="T23" i="67" s="1"/>
  <c r="T24" i="67" s="1"/>
  <c r="T25" i="67" s="1"/>
  <c r="T26" i="67" s="1"/>
  <c r="T27" i="67" s="1"/>
  <c r="S17" i="67"/>
  <c r="S18" i="67"/>
  <c r="S19" i="67" s="1"/>
  <c r="S20" i="67" s="1"/>
  <c r="S21" i="67" s="1"/>
  <c r="S22" i="67" s="1"/>
  <c r="S23" i="67" s="1"/>
  <c r="S24" i="67"/>
  <c r="S25" i="67" s="1"/>
  <c r="S26" i="67" s="1"/>
  <c r="S27" i="67" s="1"/>
  <c r="R20" i="67"/>
  <c r="R21" i="67"/>
  <c r="R22" i="67" s="1"/>
  <c r="R23" i="67" s="1"/>
  <c r="R24" i="67" s="1"/>
  <c r="R25" i="67" s="1"/>
  <c r="R26" i="67" s="1"/>
  <c r="R27" i="67" s="1"/>
  <c r="Q17" i="67"/>
  <c r="Q18" i="67" s="1"/>
  <c r="Q19" i="67" s="1"/>
  <c r="Q20" i="67" s="1"/>
  <c r="Q21" i="67" s="1"/>
  <c r="Q22" i="67" s="1"/>
  <c r="Q23" i="67" s="1"/>
  <c r="Q24" i="67" s="1"/>
  <c r="Q25" i="67" s="1"/>
  <c r="Q26" i="67" s="1"/>
  <c r="Q27" i="67" s="1"/>
  <c r="P17" i="67"/>
  <c r="P18" i="67"/>
  <c r="P19" i="67"/>
  <c r="P20" i="67" s="1"/>
  <c r="P21" i="67" s="1"/>
  <c r="P22" i="67" s="1"/>
  <c r="P23" i="67" s="1"/>
  <c r="P24" i="67" s="1"/>
  <c r="P25" i="67" s="1"/>
  <c r="P26" i="67" s="1"/>
  <c r="P27" i="67" s="1"/>
  <c r="O17" i="67"/>
  <c r="O18" i="67" s="1"/>
  <c r="O19" i="67"/>
  <c r="O20" i="67" s="1"/>
  <c r="O21" i="67" s="1"/>
  <c r="O22" i="67" s="1"/>
  <c r="O23" i="67" s="1"/>
  <c r="O24" i="67" s="1"/>
  <c r="O25" i="67" s="1"/>
  <c r="O26" i="67" s="1"/>
  <c r="O27" i="67" s="1"/>
  <c r="N17" i="67"/>
  <c r="N18" i="67"/>
  <c r="N19" i="67" s="1"/>
  <c r="N20" i="67" s="1"/>
  <c r="N21" i="67" s="1"/>
  <c r="N22" i="67" s="1"/>
  <c r="N23" i="67" s="1"/>
  <c r="N24" i="67"/>
  <c r="N25" i="67" s="1"/>
  <c r="N26" i="67" s="1"/>
  <c r="N27" i="67" s="1"/>
  <c r="M17" i="67"/>
  <c r="M18" i="67"/>
  <c r="M19" i="67" s="1"/>
  <c r="M20" i="67" s="1"/>
  <c r="M21" i="67" s="1"/>
  <c r="M22" i="67" s="1"/>
  <c r="M23" i="67" s="1"/>
  <c r="M24" i="67" s="1"/>
  <c r="M25" i="67" s="1"/>
  <c r="M26" i="67" s="1"/>
  <c r="M27" i="67" s="1"/>
  <c r="L17" i="67"/>
  <c r="L18" i="67"/>
  <c r="L19" i="67" s="1"/>
  <c r="L20" i="67" s="1"/>
  <c r="L21" i="67" s="1"/>
  <c r="L22" i="67" s="1"/>
  <c r="L23" i="67" s="1"/>
  <c r="L24" i="67" s="1"/>
  <c r="L25" i="67" s="1"/>
  <c r="L26" i="67" s="1"/>
  <c r="L27" i="67" s="1"/>
  <c r="K17" i="67"/>
  <c r="K18" i="67" s="1"/>
  <c r="K19" i="67" s="1"/>
  <c r="K20" i="67" s="1"/>
  <c r="K21" i="67" s="1"/>
  <c r="K22" i="67" s="1"/>
  <c r="K23" i="67" s="1"/>
  <c r="K24" i="67" s="1"/>
  <c r="K25" i="67" s="1"/>
  <c r="K26" i="67" s="1"/>
  <c r="K27" i="67" s="1"/>
  <c r="J17" i="67"/>
  <c r="J18" i="67" s="1"/>
  <c r="J19" i="67" s="1"/>
  <c r="J20" i="67" s="1"/>
  <c r="J21" i="67"/>
  <c r="J22" i="67" s="1"/>
  <c r="J23" i="67" s="1"/>
  <c r="J24" i="67" s="1"/>
  <c r="J25" i="67" s="1"/>
  <c r="J26" i="67" s="1"/>
  <c r="J27" i="67" s="1"/>
  <c r="I17" i="67"/>
  <c r="I18" i="67" s="1"/>
  <c r="I19" i="67" s="1"/>
  <c r="I20" i="67" s="1"/>
  <c r="I21" i="67" s="1"/>
  <c r="I22" i="67" s="1"/>
  <c r="I23" i="67" s="1"/>
  <c r="I24" i="67" s="1"/>
  <c r="I25" i="67" s="1"/>
  <c r="I26" i="67" s="1"/>
  <c r="I27" i="67" s="1"/>
  <c r="H17" i="67"/>
  <c r="H18" i="67"/>
  <c r="H19" i="67"/>
  <c r="H20" i="67" s="1"/>
  <c r="H21" i="67" s="1"/>
  <c r="H22" i="67" s="1"/>
  <c r="H23" i="67" s="1"/>
  <c r="H24" i="67"/>
  <c r="H25" i="67" s="1"/>
  <c r="H26" i="67" s="1"/>
  <c r="H27" i="67" s="1"/>
  <c r="G17" i="67"/>
  <c r="G18" i="67" s="1"/>
  <c r="G19" i="67"/>
  <c r="G20" i="67" s="1"/>
  <c r="G21" i="67" s="1"/>
  <c r="G22" i="67" s="1"/>
  <c r="G23" i="67" s="1"/>
  <c r="G24" i="67" s="1"/>
  <c r="G25" i="67" s="1"/>
  <c r="G26" i="67" s="1"/>
  <c r="G27" i="67" s="1"/>
  <c r="F17" i="67"/>
  <c r="F18" i="67"/>
  <c r="F19" i="67" s="1"/>
  <c r="F20" i="67" s="1"/>
  <c r="F21" i="67" s="1"/>
  <c r="F22" i="67" s="1"/>
  <c r="F23" i="67" s="1"/>
  <c r="F24" i="67" s="1"/>
  <c r="F25" i="67" s="1"/>
  <c r="F26" i="67" s="1"/>
  <c r="F27" i="67" s="1"/>
  <c r="E17" i="67"/>
  <c r="E18" i="67"/>
  <c r="E19" i="67" s="1"/>
  <c r="E20" i="67" s="1"/>
  <c r="E21" i="67" s="1"/>
  <c r="E22" i="67" s="1"/>
  <c r="E23" i="67" s="1"/>
  <c r="E24" i="67" s="1"/>
  <c r="E25" i="67" s="1"/>
  <c r="E26" i="67" s="1"/>
  <c r="E27" i="67" s="1"/>
  <c r="D17" i="67"/>
  <c r="D18" i="67"/>
  <c r="D19" i="67" s="1"/>
  <c r="D20" i="67" s="1"/>
  <c r="D21" i="67" s="1"/>
  <c r="D22" i="67"/>
  <c r="D23" i="67" s="1"/>
  <c r="D24" i="67" s="1"/>
  <c r="D25" i="67" s="1"/>
  <c r="D26" i="67" s="1"/>
  <c r="D27" i="67" s="1"/>
  <c r="C17" i="67"/>
  <c r="C18" i="67" s="1"/>
  <c r="C19" i="67" s="1"/>
  <c r="C20" i="67" s="1"/>
  <c r="C21" i="67" s="1"/>
  <c r="C22" i="67" s="1"/>
  <c r="C23" i="67" s="1"/>
  <c r="C24" i="67" s="1"/>
  <c r="C25" i="67" s="1"/>
  <c r="C26" i="67" s="1"/>
  <c r="C27" i="67"/>
  <c r="B20" i="67"/>
  <c r="B21" i="67" s="1"/>
  <c r="B22" i="67" s="1"/>
  <c r="B23" i="67" s="1"/>
  <c r="B24" i="67" s="1"/>
  <c r="B25" i="67" s="1"/>
  <c r="B26" i="67" s="1"/>
  <c r="B27" i="67" s="1"/>
  <c r="AC16" i="67"/>
  <c r="AB16" i="67"/>
  <c r="AA16" i="67"/>
  <c r="Z16" i="67"/>
  <c r="Y16" i="67"/>
  <c r="X16" i="67"/>
  <c r="W16" i="67"/>
  <c r="V16" i="67"/>
  <c r="U16" i="67"/>
  <c r="T16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F16" i="67"/>
  <c r="E16" i="67"/>
  <c r="D16" i="67"/>
  <c r="C16" i="67"/>
  <c r="AC17" i="64"/>
  <c r="AC18" i="64" s="1"/>
  <c r="AC19" i="64" s="1"/>
  <c r="AC20" i="64" s="1"/>
  <c r="AC21" i="64" s="1"/>
  <c r="AC22" i="64" s="1"/>
  <c r="AC23" i="64" s="1"/>
  <c r="AC24" i="64" s="1"/>
  <c r="AC25" i="64"/>
  <c r="AC26" i="64" s="1"/>
  <c r="AC27" i="64" s="1"/>
  <c r="AB17" i="64"/>
  <c r="AB18" i="64"/>
  <c r="AB19" i="64" s="1"/>
  <c r="AB20" i="64" s="1"/>
  <c r="AB21" i="64" s="1"/>
  <c r="AB22" i="64" s="1"/>
  <c r="AB23" i="64" s="1"/>
  <c r="AB24" i="64" s="1"/>
  <c r="AB25" i="64" s="1"/>
  <c r="AB26" i="64" s="1"/>
  <c r="AB27" i="64" s="1"/>
  <c r="AA17" i="64"/>
  <c r="AA18" i="64" s="1"/>
  <c r="AA19" i="64" s="1"/>
  <c r="AA20" i="64" s="1"/>
  <c r="AA21" i="64" s="1"/>
  <c r="AA22" i="64" s="1"/>
  <c r="AA23" i="64" s="1"/>
  <c r="AA24" i="64" s="1"/>
  <c r="AA25" i="64" s="1"/>
  <c r="AA26" i="64" s="1"/>
  <c r="AA27" i="64" s="1"/>
  <c r="Z27" i="64"/>
  <c r="Y17" i="64"/>
  <c r="Y18" i="64" s="1"/>
  <c r="Y19" i="64" s="1"/>
  <c r="Y20" i="64" s="1"/>
  <c r="Y21" i="64"/>
  <c r="Y22" i="64" s="1"/>
  <c r="Y23" i="64" s="1"/>
  <c r="Y24" i="64" s="1"/>
  <c r="Y25" i="64" s="1"/>
  <c r="Y26" i="64" s="1"/>
  <c r="Y27" i="64" s="1"/>
  <c r="X17" i="64"/>
  <c r="X18" i="64" s="1"/>
  <c r="X19" i="64" s="1"/>
  <c r="X20" i="64" s="1"/>
  <c r="X21" i="64" s="1"/>
  <c r="X22" i="64" s="1"/>
  <c r="X23" i="64" s="1"/>
  <c r="X24" i="64" s="1"/>
  <c r="X25" i="64" s="1"/>
  <c r="X26" i="64"/>
  <c r="X27" i="64" s="1"/>
  <c r="W17" i="64"/>
  <c r="W18" i="64" s="1"/>
  <c r="W19" i="64" s="1"/>
  <c r="W20" i="64" s="1"/>
  <c r="W21" i="64" s="1"/>
  <c r="W22" i="64" s="1"/>
  <c r="W23" i="64" s="1"/>
  <c r="W24" i="64" s="1"/>
  <c r="W25" i="64" s="1"/>
  <c r="W26" i="64" s="1"/>
  <c r="W27" i="64" s="1"/>
  <c r="V17" i="64"/>
  <c r="V18" i="64"/>
  <c r="V19" i="64"/>
  <c r="V20" i="64" s="1"/>
  <c r="V21" i="64" s="1"/>
  <c r="V22" i="64" s="1"/>
  <c r="V23" i="64" s="1"/>
  <c r="V24" i="64" s="1"/>
  <c r="V25" i="64" s="1"/>
  <c r="V26" i="64" s="1"/>
  <c r="V27" i="64" s="1"/>
  <c r="U17" i="64"/>
  <c r="U18" i="64" s="1"/>
  <c r="U19" i="64"/>
  <c r="U20" i="64" s="1"/>
  <c r="U21" i="64" s="1"/>
  <c r="U22" i="64" s="1"/>
  <c r="U23" i="64" s="1"/>
  <c r="U24" i="64" s="1"/>
  <c r="U25" i="64" s="1"/>
  <c r="U26" i="64" s="1"/>
  <c r="U27" i="64" s="1"/>
  <c r="T17" i="64"/>
  <c r="T18" i="64"/>
  <c r="T19" i="64" s="1"/>
  <c r="T20" i="64" s="1"/>
  <c r="T21" i="64" s="1"/>
  <c r="T22" i="64" s="1"/>
  <c r="T23" i="64" s="1"/>
  <c r="T24" i="64" s="1"/>
  <c r="T25" i="64" s="1"/>
  <c r="T26" i="64" s="1"/>
  <c r="T27" i="64" s="1"/>
  <c r="S17" i="64"/>
  <c r="S18" i="64"/>
  <c r="S19" i="64" s="1"/>
  <c r="S20" i="64" s="1"/>
  <c r="S21" i="64" s="1"/>
  <c r="S22" i="64" s="1"/>
  <c r="S23" i="64"/>
  <c r="S24" i="64" s="1"/>
  <c r="S25" i="64" s="1"/>
  <c r="S26" i="64" s="1"/>
  <c r="S27" i="64" s="1"/>
  <c r="R17" i="64"/>
  <c r="R18" i="64"/>
  <c r="R19" i="64" s="1"/>
  <c r="R20" i="64" s="1"/>
  <c r="R21" i="64" s="1"/>
  <c r="R22" i="64" s="1"/>
  <c r="R23" i="64" s="1"/>
  <c r="R24" i="64" s="1"/>
  <c r="R25" i="64" s="1"/>
  <c r="R26" i="64" s="1"/>
  <c r="R27" i="64"/>
  <c r="Q17" i="64"/>
  <c r="Q18" i="64" s="1"/>
  <c r="Q19" i="64" s="1"/>
  <c r="Q20" i="64" s="1"/>
  <c r="Q21" i="64" s="1"/>
  <c r="Q22" i="64" s="1"/>
  <c r="Q23" i="64" s="1"/>
  <c r="Q24" i="64" s="1"/>
  <c r="Q25" i="64" s="1"/>
  <c r="Q26" i="64" s="1"/>
  <c r="Q27" i="64" s="1"/>
  <c r="P17" i="64"/>
  <c r="P18" i="64" s="1"/>
  <c r="P19" i="64" s="1"/>
  <c r="P20" i="64" s="1"/>
  <c r="P21" i="64" s="1"/>
  <c r="P22" i="64" s="1"/>
  <c r="P23" i="64" s="1"/>
  <c r="P24" i="64" s="1"/>
  <c r="P25" i="64" s="1"/>
  <c r="P26" i="64" s="1"/>
  <c r="P27" i="64" s="1"/>
  <c r="O17" i="64"/>
  <c r="O18" i="64" s="1"/>
  <c r="O19" i="64" s="1"/>
  <c r="O20" i="64" s="1"/>
  <c r="O21" i="64"/>
  <c r="O22" i="64" s="1"/>
  <c r="O23" i="64" s="1"/>
  <c r="O24" i="64" s="1"/>
  <c r="O25" i="64" s="1"/>
  <c r="O26" i="64" s="1"/>
  <c r="O27" i="64" s="1"/>
  <c r="N17" i="64"/>
  <c r="N18" i="64"/>
  <c r="N19" i="64" s="1"/>
  <c r="N20" i="64" s="1"/>
  <c r="N21" i="64" s="1"/>
  <c r="N22" i="64"/>
  <c r="N23" i="64" s="1"/>
  <c r="N24" i="64" s="1"/>
  <c r="N25" i="64" s="1"/>
  <c r="N26" i="64" s="1"/>
  <c r="N27" i="64" s="1"/>
  <c r="M17" i="64"/>
  <c r="M18" i="64" s="1"/>
  <c r="M19" i="64" s="1"/>
  <c r="M20" i="64" s="1"/>
  <c r="M21" i="64" s="1"/>
  <c r="M22" i="64" s="1"/>
  <c r="M23" i="64" s="1"/>
  <c r="M24" i="64" s="1"/>
  <c r="M25" i="64" s="1"/>
  <c r="M26" i="64" s="1"/>
  <c r="M27" i="64" s="1"/>
  <c r="L17" i="64"/>
  <c r="L18" i="64" s="1"/>
  <c r="L19" i="64" s="1"/>
  <c r="L20" i="64" s="1"/>
  <c r="L21" i="64" s="1"/>
  <c r="L22" i="64" s="1"/>
  <c r="L23" i="64" s="1"/>
  <c r="L24" i="64" s="1"/>
  <c r="L25" i="64" s="1"/>
  <c r="L26" i="64" s="1"/>
  <c r="L27" i="64" s="1"/>
  <c r="K17" i="64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J17" i="64"/>
  <c r="J18" i="64"/>
  <c r="J19" i="64" s="1"/>
  <c r="J20" i="64" s="1"/>
  <c r="J21" i="64" s="1"/>
  <c r="J22" i="64" s="1"/>
  <c r="J23" i="64" s="1"/>
  <c r="J24" i="64" s="1"/>
  <c r="J25" i="64" s="1"/>
  <c r="J26" i="64" s="1"/>
  <c r="J27" i="64" s="1"/>
  <c r="I17" i="64"/>
  <c r="I18" i="64" s="1"/>
  <c r="I19" i="64" s="1"/>
  <c r="I20" i="64" s="1"/>
  <c r="I21" i="64" s="1"/>
  <c r="I22" i="64" s="1"/>
  <c r="I23" i="64" s="1"/>
  <c r="I24" i="64" s="1"/>
  <c r="I25" i="64" s="1"/>
  <c r="I26" i="64" s="1"/>
  <c r="I27" i="64" s="1"/>
  <c r="H17" i="64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G17" i="64"/>
  <c r="G18" i="64" s="1"/>
  <c r="G19" i="64" s="1"/>
  <c r="G20" i="64" s="1"/>
  <c r="G21" i="64"/>
  <c r="G22" i="64" s="1"/>
  <c r="G23" i="64" s="1"/>
  <c r="G24" i="64" s="1"/>
  <c r="G25" i="64" s="1"/>
  <c r="G26" i="64" s="1"/>
  <c r="G27" i="64" s="1"/>
  <c r="F17" i="64"/>
  <c r="F18" i="64"/>
  <c r="F19" i="64" s="1"/>
  <c r="F20" i="64" s="1"/>
  <c r="F21" i="64" s="1"/>
  <c r="F22" i="64"/>
  <c r="F23" i="64" s="1"/>
  <c r="F24" i="64" s="1"/>
  <c r="F25" i="64" s="1"/>
  <c r="F26" i="64" s="1"/>
  <c r="F27" i="64" s="1"/>
  <c r="E17" i="64"/>
  <c r="E18" i="64" s="1"/>
  <c r="E19" i="64" s="1"/>
  <c r="E20" i="64" s="1"/>
  <c r="E21" i="64" s="1"/>
  <c r="E22" i="64" s="1"/>
  <c r="E23" i="64" s="1"/>
  <c r="E24" i="64" s="1"/>
  <c r="E25" i="64" s="1"/>
  <c r="E26" i="64" s="1"/>
  <c r="E27" i="64" s="1"/>
  <c r="D17" i="64"/>
  <c r="D18" i="64" s="1"/>
  <c r="D19" i="64" s="1"/>
  <c r="D20" i="64" s="1"/>
  <c r="D21" i="64" s="1"/>
  <c r="D22" i="64" s="1"/>
  <c r="D23" i="64" s="1"/>
  <c r="D24" i="64" s="1"/>
  <c r="D25" i="64" s="1"/>
  <c r="D26" i="64" s="1"/>
  <c r="D27" i="64" s="1"/>
  <c r="C17" i="64"/>
  <c r="C18" i="64" s="1"/>
  <c r="C19" i="64" s="1"/>
  <c r="C20" i="64" s="1"/>
  <c r="C21" i="64" s="1"/>
  <c r="C22" i="64" s="1"/>
  <c r="C23" i="64" s="1"/>
  <c r="C24" i="64" s="1"/>
  <c r="C25" i="64" s="1"/>
  <c r="C26" i="64" s="1"/>
  <c r="C27" i="64" s="1"/>
  <c r="B21" i="64"/>
  <c r="B22" i="64"/>
  <c r="B23" i="64" s="1"/>
  <c r="B24" i="64" s="1"/>
  <c r="B25" i="64" s="1"/>
  <c r="B26" i="64" s="1"/>
  <c r="AC16" i="64"/>
  <c r="AB16" i="64"/>
  <c r="AA16" i="64"/>
  <c r="Z16" i="64"/>
  <c r="Y16" i="64"/>
  <c r="X16" i="64"/>
  <c r="W16" i="64"/>
  <c r="V16" i="64"/>
  <c r="U16" i="64"/>
  <c r="T16" i="64"/>
  <c r="S16" i="64"/>
  <c r="R16" i="64"/>
  <c r="Q16" i="64"/>
  <c r="P16" i="64"/>
  <c r="O16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B16" i="64"/>
  <c r="AC17" i="60"/>
  <c r="AC18" i="60" s="1"/>
  <c r="AC19" i="60"/>
  <c r="AC20" i="60" s="1"/>
  <c r="AC21" i="60" s="1"/>
  <c r="AC22" i="60" s="1"/>
  <c r="AC23" i="60" s="1"/>
  <c r="AC24" i="60" s="1"/>
  <c r="AC25" i="60" s="1"/>
  <c r="AC26" i="60" s="1"/>
  <c r="AC27" i="60" s="1"/>
  <c r="AB17" i="60"/>
  <c r="AB18" i="60" s="1"/>
  <c r="AB19" i="60" s="1"/>
  <c r="AB20" i="60"/>
  <c r="AB21" i="60" s="1"/>
  <c r="AB22" i="60" s="1"/>
  <c r="AB23" i="60" s="1"/>
  <c r="AB24" i="60" s="1"/>
  <c r="AB25" i="60" s="1"/>
  <c r="AB26" i="60" s="1"/>
  <c r="AB27" i="60" s="1"/>
  <c r="AA17" i="60"/>
  <c r="AA18" i="60" s="1"/>
  <c r="AA19" i="60" s="1"/>
  <c r="AA20" i="60" s="1"/>
  <c r="AA21" i="60" s="1"/>
  <c r="AA22" i="60" s="1"/>
  <c r="AA23" i="60" s="1"/>
  <c r="AA24" i="60" s="1"/>
  <c r="AA25" i="60"/>
  <c r="AA26" i="60" s="1"/>
  <c r="AA27" i="60" s="1"/>
  <c r="Z18" i="60"/>
  <c r="Z19" i="60"/>
  <c r="Z20" i="60" s="1"/>
  <c r="Z21" i="60" s="1"/>
  <c r="Z22" i="60" s="1"/>
  <c r="Z23" i="60" s="1"/>
  <c r="Z24" i="60" s="1"/>
  <c r="Z25" i="60" s="1"/>
  <c r="Z26" i="60" s="1"/>
  <c r="Z27" i="60" s="1"/>
  <c r="Y17" i="60"/>
  <c r="Y18" i="60" s="1"/>
  <c r="Y19" i="60" s="1"/>
  <c r="Y20" i="60" s="1"/>
  <c r="Y21" i="60" s="1"/>
  <c r="Y22" i="60" s="1"/>
  <c r="Y23" i="60" s="1"/>
  <c r="Y24" i="60" s="1"/>
  <c r="Y25" i="60" s="1"/>
  <c r="Y26" i="60" s="1"/>
  <c r="Y27" i="60" s="1"/>
  <c r="X17" i="60"/>
  <c r="X18" i="60" s="1"/>
  <c r="X19" i="60" s="1"/>
  <c r="X20" i="60" s="1"/>
  <c r="X21" i="60" s="1"/>
  <c r="X22" i="60" s="1"/>
  <c r="X23" i="60" s="1"/>
  <c r="X24" i="60" s="1"/>
  <c r="X25" i="60" s="1"/>
  <c r="X26" i="60" s="1"/>
  <c r="X27" i="60" s="1"/>
  <c r="W17" i="60"/>
  <c r="W18" i="60"/>
  <c r="W19" i="60" s="1"/>
  <c r="W20" i="60" s="1"/>
  <c r="W21" i="60" s="1"/>
  <c r="W22" i="60" s="1"/>
  <c r="W23" i="60" s="1"/>
  <c r="W24" i="60" s="1"/>
  <c r="W25" i="60" s="1"/>
  <c r="W26" i="60" s="1"/>
  <c r="W27" i="60" s="1"/>
  <c r="V20" i="60"/>
  <c r="V21" i="60" s="1"/>
  <c r="V22" i="60"/>
  <c r="V23" i="60" s="1"/>
  <c r="V24" i="60" s="1"/>
  <c r="V25" i="60" s="1"/>
  <c r="V26" i="60" s="1"/>
  <c r="V27" i="60" s="1"/>
  <c r="U17" i="60"/>
  <c r="U18" i="60" s="1"/>
  <c r="U19" i="60" s="1"/>
  <c r="U20" i="60" s="1"/>
  <c r="U21" i="60" s="1"/>
  <c r="U22" i="60" s="1"/>
  <c r="U23" i="60" s="1"/>
  <c r="U24" i="60" s="1"/>
  <c r="U25" i="60" s="1"/>
  <c r="U26" i="60" s="1"/>
  <c r="U27" i="60" s="1"/>
  <c r="T17" i="60"/>
  <c r="T18" i="60" s="1"/>
  <c r="T19" i="60" s="1"/>
  <c r="T20" i="60" s="1"/>
  <c r="T21" i="60" s="1"/>
  <c r="T22" i="60" s="1"/>
  <c r="T23" i="60" s="1"/>
  <c r="T24" i="60" s="1"/>
  <c r="T25" i="60" s="1"/>
  <c r="T26" i="60" s="1"/>
  <c r="T27" i="60" s="1"/>
  <c r="S17" i="60"/>
  <c r="S18" i="60" s="1"/>
  <c r="S19" i="60" s="1"/>
  <c r="S20" i="60" s="1"/>
  <c r="S21" i="60" s="1"/>
  <c r="S22" i="60" s="1"/>
  <c r="S23" i="60" s="1"/>
  <c r="S24" i="60" s="1"/>
  <c r="S25" i="60" s="1"/>
  <c r="S26" i="60" s="1"/>
  <c r="S27" i="60" s="1"/>
  <c r="R17" i="60"/>
  <c r="R18" i="60"/>
  <c r="R19" i="60" s="1"/>
  <c r="R20" i="60" s="1"/>
  <c r="R21" i="60" s="1"/>
  <c r="R22" i="60" s="1"/>
  <c r="R23" i="60" s="1"/>
  <c r="R24" i="60" s="1"/>
  <c r="R25" i="60" s="1"/>
  <c r="R26" i="60" s="1"/>
  <c r="R27" i="60" s="1"/>
  <c r="Q17" i="60"/>
  <c r="Q18" i="60" s="1"/>
  <c r="Q19" i="60" s="1"/>
  <c r="Q20" i="60" s="1"/>
  <c r="Q21" i="60" s="1"/>
  <c r="Q22" i="60" s="1"/>
  <c r="Q23" i="60" s="1"/>
  <c r="Q24" i="60" s="1"/>
  <c r="Q25" i="60" s="1"/>
  <c r="Q26" i="60" s="1"/>
  <c r="Q27" i="60" s="1"/>
  <c r="P17" i="60"/>
  <c r="P18" i="60" s="1"/>
  <c r="P19" i="60" s="1"/>
  <c r="P20" i="60" s="1"/>
  <c r="P21" i="60" s="1"/>
  <c r="P22" i="60" s="1"/>
  <c r="P23" i="60" s="1"/>
  <c r="P24" i="60" s="1"/>
  <c r="P25" i="60" s="1"/>
  <c r="P26" i="60" s="1"/>
  <c r="P27" i="60" s="1"/>
  <c r="O17" i="60"/>
  <c r="O18" i="60" s="1"/>
  <c r="O19" i="60" s="1"/>
  <c r="O20" i="60" s="1"/>
  <c r="O21" i="60"/>
  <c r="O22" i="60" s="1"/>
  <c r="O23" i="60" s="1"/>
  <c r="O24" i="60" s="1"/>
  <c r="O25" i="60" s="1"/>
  <c r="O26" i="60" s="1"/>
  <c r="O27" i="60" s="1"/>
  <c r="N21" i="60"/>
  <c r="N22" i="60"/>
  <c r="N23" i="60" s="1"/>
  <c r="N24" i="60" s="1"/>
  <c r="N25" i="60" s="1"/>
  <c r="N26" i="60"/>
  <c r="N27" i="60" s="1"/>
  <c r="M17" i="60"/>
  <c r="M18" i="60" s="1"/>
  <c r="M19" i="60" s="1"/>
  <c r="M20" i="60" s="1"/>
  <c r="M21" i="60" s="1"/>
  <c r="M22" i="60" s="1"/>
  <c r="M23" i="60" s="1"/>
  <c r="M24" i="60" s="1"/>
  <c r="M25" i="60" s="1"/>
  <c r="M26" i="60" s="1"/>
  <c r="M27" i="60" s="1"/>
  <c r="L17" i="60"/>
  <c r="L18" i="60" s="1"/>
  <c r="L19" i="60" s="1"/>
  <c r="L20" i="60" s="1"/>
  <c r="L21" i="60" s="1"/>
  <c r="L22" i="60" s="1"/>
  <c r="L23" i="60" s="1"/>
  <c r="L24" i="60" s="1"/>
  <c r="L25" i="60" s="1"/>
  <c r="L26" i="60" s="1"/>
  <c r="L27" i="60" s="1"/>
  <c r="K17" i="60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J17" i="60"/>
  <c r="J18" i="60"/>
  <c r="J19" i="60" s="1"/>
  <c r="J20" i="60" s="1"/>
  <c r="J21" i="60" s="1"/>
  <c r="J22" i="60" s="1"/>
  <c r="J23" i="60" s="1"/>
  <c r="J24" i="60" s="1"/>
  <c r="J25" i="60" s="1"/>
  <c r="J26" i="60" s="1"/>
  <c r="J27" i="60" s="1"/>
  <c r="I17" i="60"/>
  <c r="I18" i="60" s="1"/>
  <c r="I19" i="60"/>
  <c r="I20" i="60" s="1"/>
  <c r="I21" i="60" s="1"/>
  <c r="I22" i="60" s="1"/>
  <c r="I23" i="60" s="1"/>
  <c r="I24" i="60" s="1"/>
  <c r="I25" i="60" s="1"/>
  <c r="I26" i="60" s="1"/>
  <c r="I27" i="60" s="1"/>
  <c r="H17" i="60"/>
  <c r="H18" i="60" s="1"/>
  <c r="H19" i="60" s="1"/>
  <c r="H20" i="60"/>
  <c r="H21" i="60" s="1"/>
  <c r="H22" i="60" s="1"/>
  <c r="H23" i="60" s="1"/>
  <c r="H24" i="60" s="1"/>
  <c r="H25" i="60" s="1"/>
  <c r="H26" i="60" s="1"/>
  <c r="H27" i="60" s="1"/>
  <c r="G17" i="60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F17" i="60"/>
  <c r="F18" i="60"/>
  <c r="F19" i="60" s="1"/>
  <c r="F20" i="60" s="1"/>
  <c r="F21" i="60" s="1"/>
  <c r="F22" i="60" s="1"/>
  <c r="F23" i="60" s="1"/>
  <c r="F24" i="60" s="1"/>
  <c r="F25" i="60" s="1"/>
  <c r="F26" i="60"/>
  <c r="E17" i="60"/>
  <c r="E18" i="60" s="1"/>
  <c r="E19" i="60" s="1"/>
  <c r="E20" i="60" s="1"/>
  <c r="E21" i="60" s="1"/>
  <c r="E22" i="60" s="1"/>
  <c r="E23" i="60" s="1"/>
  <c r="E24" i="60" s="1"/>
  <c r="E25" i="60" s="1"/>
  <c r="E26" i="60" s="1"/>
  <c r="E27" i="60"/>
  <c r="D17" i="60"/>
  <c r="D18" i="60" s="1"/>
  <c r="D19" i="60" s="1"/>
  <c r="D20" i="60" s="1"/>
  <c r="D21" i="60" s="1"/>
  <c r="D22" i="60" s="1"/>
  <c r="D23" i="60" s="1"/>
  <c r="D24" i="60" s="1"/>
  <c r="D25" i="60" s="1"/>
  <c r="D26" i="60" s="1"/>
  <c r="D27" i="60" s="1"/>
  <c r="C17" i="60"/>
  <c r="C18" i="60" s="1"/>
  <c r="C19" i="60" s="1"/>
  <c r="C20" i="60" s="1"/>
  <c r="C21" i="60" s="1"/>
  <c r="C22" i="60" s="1"/>
  <c r="C23" i="60" s="1"/>
  <c r="C24" i="60" s="1"/>
  <c r="C25" i="60" s="1"/>
  <c r="C26" i="60" s="1"/>
  <c r="C27" i="60" s="1"/>
  <c r="B17" i="60"/>
  <c r="B18" i="60"/>
  <c r="B19" i="60" s="1"/>
  <c r="B20" i="60" s="1"/>
  <c r="B21" i="60" s="1"/>
  <c r="B22" i="60" s="1"/>
  <c r="B23" i="60" s="1"/>
  <c r="B24" i="60" s="1"/>
  <c r="B25" i="60" s="1"/>
  <c r="B26" i="60" s="1"/>
  <c r="B27" i="60" s="1"/>
  <c r="AC16" i="60"/>
  <c r="AB16" i="60"/>
  <c r="AA16" i="60"/>
  <c r="Z16" i="60"/>
  <c r="Y16" i="60"/>
  <c r="X16" i="60"/>
  <c r="W16" i="60"/>
  <c r="V16" i="60"/>
  <c r="U16" i="60"/>
  <c r="T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E16" i="60"/>
  <c r="D16" i="60"/>
  <c r="C16" i="60"/>
  <c r="B16" i="60"/>
  <c r="AC17" i="58"/>
  <c r="AC18" i="58" s="1"/>
  <c r="AC19" i="58" s="1"/>
  <c r="AC20" i="58" s="1"/>
  <c r="AC21" i="58" s="1"/>
  <c r="AC22" i="58" s="1"/>
  <c r="AC23" i="58" s="1"/>
  <c r="AC24" i="58" s="1"/>
  <c r="AC25" i="58" s="1"/>
  <c r="AC26" i="58" s="1"/>
  <c r="AC27" i="58" s="1"/>
  <c r="AB17" i="58"/>
  <c r="AB18" i="58" s="1"/>
  <c r="AB19" i="58" s="1"/>
  <c r="AB20" i="58" s="1"/>
  <c r="AB21" i="58" s="1"/>
  <c r="AB22" i="58" s="1"/>
  <c r="AB23" i="58" s="1"/>
  <c r="AB24" i="58" s="1"/>
  <c r="AB25" i="58" s="1"/>
  <c r="AB26" i="58" s="1"/>
  <c r="AB27" i="58" s="1"/>
  <c r="AA17" i="58"/>
  <c r="AA18" i="58"/>
  <c r="AA19" i="58" s="1"/>
  <c r="AA20" i="58" s="1"/>
  <c r="AA21" i="58" s="1"/>
  <c r="AA22" i="58" s="1"/>
  <c r="AA23" i="58" s="1"/>
  <c r="AA24" i="58" s="1"/>
  <c r="AA25" i="58" s="1"/>
  <c r="AA26" i="58" s="1"/>
  <c r="AA27" i="58" s="1"/>
  <c r="Z18" i="58"/>
  <c r="Z19" i="58" s="1"/>
  <c r="Z20" i="58" s="1"/>
  <c r="Z21" i="58" s="1"/>
  <c r="Z22" i="58" s="1"/>
  <c r="Z23" i="58" s="1"/>
  <c r="Z24" i="58" s="1"/>
  <c r="Z25" i="58" s="1"/>
  <c r="Z26" i="58" s="1"/>
  <c r="Z27" i="58" s="1"/>
  <c r="Y17" i="58"/>
  <c r="Y18" i="58" s="1"/>
  <c r="Y19" i="58" s="1"/>
  <c r="Y20" i="58" s="1"/>
  <c r="Y21" i="58"/>
  <c r="Y22" i="58" s="1"/>
  <c r="Y23" i="58" s="1"/>
  <c r="Y24" i="58" s="1"/>
  <c r="Y25" i="58" s="1"/>
  <c r="Y26" i="58" s="1"/>
  <c r="Y27" i="58" s="1"/>
  <c r="X17" i="58"/>
  <c r="X18" i="58"/>
  <c r="X19" i="58" s="1"/>
  <c r="X20" i="58" s="1"/>
  <c r="X21" i="58" s="1"/>
  <c r="X22" i="58"/>
  <c r="X23" i="58" s="1"/>
  <c r="X24" i="58" s="1"/>
  <c r="X25" i="58" s="1"/>
  <c r="X26" i="58" s="1"/>
  <c r="X27" i="58" s="1"/>
  <c r="W17" i="58"/>
  <c r="W18" i="58" s="1"/>
  <c r="W19" i="58" s="1"/>
  <c r="W20" i="58" s="1"/>
  <c r="W21" i="58" s="1"/>
  <c r="W22" i="58" s="1"/>
  <c r="W23" i="58"/>
  <c r="W24" i="58" s="1"/>
  <c r="W25" i="58" s="1"/>
  <c r="W26" i="58" s="1"/>
  <c r="W27" i="58" s="1"/>
  <c r="V17" i="58"/>
  <c r="V18" i="58" s="1"/>
  <c r="V19" i="58" s="1"/>
  <c r="V20" i="58" s="1"/>
  <c r="V21" i="58" s="1"/>
  <c r="V22" i="58" s="1"/>
  <c r="V23" i="58" s="1"/>
  <c r="V24" i="58"/>
  <c r="V25" i="58" s="1"/>
  <c r="V26" i="58" s="1"/>
  <c r="V27" i="58" s="1"/>
  <c r="U17" i="58"/>
  <c r="U18" i="58" s="1"/>
  <c r="U19" i="58" s="1"/>
  <c r="U20" i="58" s="1"/>
  <c r="U21" i="58" s="1"/>
  <c r="U22" i="58" s="1"/>
  <c r="U23" i="58" s="1"/>
  <c r="U24" i="58" s="1"/>
  <c r="U25" i="58" s="1"/>
  <c r="U26" i="58" s="1"/>
  <c r="U27" i="58" s="1"/>
  <c r="T17" i="58"/>
  <c r="T18" i="58"/>
  <c r="T19" i="58" s="1"/>
  <c r="T20" i="58" s="1"/>
  <c r="T21" i="58" s="1"/>
  <c r="T22" i="58" s="1"/>
  <c r="T23" i="58" s="1"/>
  <c r="T24" i="58" s="1"/>
  <c r="T25" i="58" s="1"/>
  <c r="T26" i="58" s="1"/>
  <c r="T27" i="58" s="1"/>
  <c r="S17" i="58"/>
  <c r="S18" i="58" s="1"/>
  <c r="S19" i="58" s="1"/>
  <c r="S20" i="58" s="1"/>
  <c r="S21" i="58" s="1"/>
  <c r="S22" i="58" s="1"/>
  <c r="S23" i="58" s="1"/>
  <c r="S24" i="58" s="1"/>
  <c r="S25" i="58" s="1"/>
  <c r="S26" i="58" s="1"/>
  <c r="S27" i="58" s="1"/>
  <c r="R17" i="58"/>
  <c r="R18" i="58" s="1"/>
  <c r="R19" i="58" s="1"/>
  <c r="R20" i="58" s="1"/>
  <c r="R21" i="58" s="1"/>
  <c r="R22" i="58" s="1"/>
  <c r="R23" i="58" s="1"/>
  <c r="R24" i="58" s="1"/>
  <c r="R25" i="58" s="1"/>
  <c r="R26" i="58" s="1"/>
  <c r="R27" i="58" s="1"/>
  <c r="Q17" i="58"/>
  <c r="Q18" i="58" s="1"/>
  <c r="Q19" i="58" s="1"/>
  <c r="Q20" i="58" s="1"/>
  <c r="Q21" i="58"/>
  <c r="Q22" i="58" s="1"/>
  <c r="Q23" i="58" s="1"/>
  <c r="Q24" i="58" s="1"/>
  <c r="Q25" i="58" s="1"/>
  <c r="Q26" i="58" s="1"/>
  <c r="Q27" i="58" s="1"/>
  <c r="P17" i="58"/>
  <c r="P18" i="58"/>
  <c r="P19" i="58" s="1"/>
  <c r="P20" i="58" s="1"/>
  <c r="P21" i="58" s="1"/>
  <c r="P22" i="58"/>
  <c r="P23" i="58" s="1"/>
  <c r="P24" i="58" s="1"/>
  <c r="P25" i="58" s="1"/>
  <c r="P26" i="58" s="1"/>
  <c r="P27" i="58" s="1"/>
  <c r="O17" i="58"/>
  <c r="O18" i="58" s="1"/>
  <c r="O19" i="58" s="1"/>
  <c r="O20" i="58" s="1"/>
  <c r="O21" i="58" s="1"/>
  <c r="O22" i="58" s="1"/>
  <c r="O23" i="58"/>
  <c r="O24" i="58" s="1"/>
  <c r="O25" i="58" s="1"/>
  <c r="O26" i="58" s="1"/>
  <c r="O27" i="58" s="1"/>
  <c r="N17" i="58"/>
  <c r="N18" i="58" s="1"/>
  <c r="N19" i="58" s="1"/>
  <c r="N20" i="58" s="1"/>
  <c r="N21" i="58" s="1"/>
  <c r="N22" i="58" s="1"/>
  <c r="N23" i="58" s="1"/>
  <c r="N24" i="58"/>
  <c r="N25" i="58" s="1"/>
  <c r="N26" i="58" s="1"/>
  <c r="N27" i="58" s="1"/>
  <c r="M17" i="58"/>
  <c r="M18" i="58" s="1"/>
  <c r="M19" i="58" s="1"/>
  <c r="M20" i="58" s="1"/>
  <c r="M21" i="58" s="1"/>
  <c r="M22" i="58" s="1"/>
  <c r="M23" i="58" s="1"/>
  <c r="M24" i="58" s="1"/>
  <c r="M25" i="58" s="1"/>
  <c r="M26" i="58" s="1"/>
  <c r="M27" i="58" s="1"/>
  <c r="L17" i="58"/>
  <c r="L18" i="58"/>
  <c r="L19" i="58" s="1"/>
  <c r="L20" i="58" s="1"/>
  <c r="L21" i="58" s="1"/>
  <c r="L22" i="58" s="1"/>
  <c r="L23" i="58" s="1"/>
  <c r="L24" i="58" s="1"/>
  <c r="L25" i="58" s="1"/>
  <c r="L26" i="58" s="1"/>
  <c r="L27" i="58" s="1"/>
  <c r="K17" i="58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J17" i="58"/>
  <c r="J18" i="58" s="1"/>
  <c r="J19" i="58" s="1"/>
  <c r="J20" i="58" s="1"/>
  <c r="J21" i="58" s="1"/>
  <c r="J22" i="58" s="1"/>
  <c r="J23" i="58" s="1"/>
  <c r="J24" i="58" s="1"/>
  <c r="J25" i="58" s="1"/>
  <c r="J26" i="58" s="1"/>
  <c r="J27" i="58" s="1"/>
  <c r="I17" i="58"/>
  <c r="I18" i="58" s="1"/>
  <c r="I19" i="58" s="1"/>
  <c r="I20" i="58" s="1"/>
  <c r="I21" i="58"/>
  <c r="I22" i="58" s="1"/>
  <c r="I23" i="58" s="1"/>
  <c r="I24" i="58" s="1"/>
  <c r="I25" i="58" s="1"/>
  <c r="I26" i="58" s="1"/>
  <c r="I27" i="58" s="1"/>
  <c r="H17" i="58"/>
  <c r="H18" i="58"/>
  <c r="H19" i="58" s="1"/>
  <c r="H20" i="58" s="1"/>
  <c r="H21" i="58" s="1"/>
  <c r="H22" i="58"/>
  <c r="H23" i="58" s="1"/>
  <c r="H24" i="58" s="1"/>
  <c r="H25" i="58" s="1"/>
  <c r="H26" i="58" s="1"/>
  <c r="H27" i="58" s="1"/>
  <c r="G17" i="58"/>
  <c r="G18" i="58" s="1"/>
  <c r="G19" i="58" s="1"/>
  <c r="G20" i="58" s="1"/>
  <c r="G21" i="58" s="1"/>
  <c r="G22" i="58" s="1"/>
  <c r="G23" i="58"/>
  <c r="G24" i="58" s="1"/>
  <c r="G25" i="58" s="1"/>
  <c r="G26" i="58" s="1"/>
  <c r="G27" i="58" s="1"/>
  <c r="F17" i="58"/>
  <c r="F18" i="58" s="1"/>
  <c r="F19" i="58" s="1"/>
  <c r="F20" i="58" s="1"/>
  <c r="F21" i="58" s="1"/>
  <c r="F22" i="58" s="1"/>
  <c r="F23" i="58" s="1"/>
  <c r="F24" i="58"/>
  <c r="F25" i="58" s="1"/>
  <c r="F26" i="58" s="1"/>
  <c r="E17" i="58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D17" i="58"/>
  <c r="D18" i="58"/>
  <c r="D19" i="58" s="1"/>
  <c r="D20" i="58" s="1"/>
  <c r="D21" i="58" s="1"/>
  <c r="D22" i="58" s="1"/>
  <c r="D23" i="58" s="1"/>
  <c r="D24" i="58" s="1"/>
  <c r="D25" i="58" s="1"/>
  <c r="D26" i="58" s="1"/>
  <c r="D27" i="58" s="1"/>
  <c r="C17" i="58"/>
  <c r="C18" i="58" s="1"/>
  <c r="C19" i="58" s="1"/>
  <c r="C20" i="58" s="1"/>
  <c r="C21" i="58" s="1"/>
  <c r="C22" i="58" s="1"/>
  <c r="C23" i="58" s="1"/>
  <c r="C24" i="58" s="1"/>
  <c r="C25" i="58" s="1"/>
  <c r="C26" i="58" s="1"/>
  <c r="C27" i="58" s="1"/>
  <c r="B17" i="58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AC16" i="58"/>
  <c r="AB16" i="58"/>
  <c r="AA16" i="58"/>
  <c r="Z16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F16" i="58"/>
  <c r="E16" i="58"/>
  <c r="D16" i="58"/>
  <c r="C16" i="58"/>
  <c r="AC17" i="55"/>
  <c r="AC18" i="55"/>
  <c r="AC19" i="55" s="1"/>
  <c r="AC20" i="55" s="1"/>
  <c r="AC21" i="55" s="1"/>
  <c r="AC22" i="55"/>
  <c r="AC23" i="55" s="1"/>
  <c r="AC24" i="55" s="1"/>
  <c r="AC25" i="55" s="1"/>
  <c r="AC26" i="55" s="1"/>
  <c r="AC27" i="55" s="1"/>
  <c r="AB17" i="55"/>
  <c r="AB18" i="55" s="1"/>
  <c r="AB19" i="55" s="1"/>
  <c r="AB20" i="55" s="1"/>
  <c r="AB21" i="55" s="1"/>
  <c r="AB22" i="55" s="1"/>
  <c r="AB23" i="55" s="1"/>
  <c r="AB24" i="55" s="1"/>
  <c r="AB25" i="55" s="1"/>
  <c r="AB26" i="55" s="1"/>
  <c r="AB27" i="55" s="1"/>
  <c r="AA17" i="55"/>
  <c r="AA18" i="55" s="1"/>
  <c r="AA19" i="55" s="1"/>
  <c r="AA20" i="55" s="1"/>
  <c r="AA21" i="55" s="1"/>
  <c r="AA22" i="55" s="1"/>
  <c r="AA23" i="55" s="1"/>
  <c r="AA24" i="55" s="1"/>
  <c r="AA25" i="55" s="1"/>
  <c r="AA26" i="55" s="1"/>
  <c r="AA27" i="55" s="1"/>
  <c r="Z18" i="55"/>
  <c r="Z19" i="55" s="1"/>
  <c r="Z20" i="55" s="1"/>
  <c r="Z21" i="55" s="1"/>
  <c r="Z22" i="55" s="1"/>
  <c r="Z23" i="55" s="1"/>
  <c r="Z24" i="55" s="1"/>
  <c r="Z25" i="55" s="1"/>
  <c r="Z26" i="55" s="1"/>
  <c r="Z27" i="55" s="1"/>
  <c r="Y17" i="55"/>
  <c r="Y18" i="55" s="1"/>
  <c r="Y19" i="55" s="1"/>
  <c r="Y20" i="55" s="1"/>
  <c r="Y21" i="55" s="1"/>
  <c r="Y22" i="55" s="1"/>
  <c r="Y23" i="55" s="1"/>
  <c r="Y24" i="55" s="1"/>
  <c r="Y25" i="55" s="1"/>
  <c r="Y26" i="55" s="1"/>
  <c r="Y27" i="55" s="1"/>
  <c r="X17" i="55"/>
  <c r="X18" i="55" s="1"/>
  <c r="X19" i="55" s="1"/>
  <c r="X20" i="55" s="1"/>
  <c r="X21" i="55" s="1"/>
  <c r="X22" i="55" s="1"/>
  <c r="X23" i="55" s="1"/>
  <c r="X24" i="55" s="1"/>
  <c r="X25" i="55" s="1"/>
  <c r="X26" i="55" s="1"/>
  <c r="X27" i="55" s="1"/>
  <c r="W17" i="55"/>
  <c r="W18" i="55" s="1"/>
  <c r="W19" i="55" s="1"/>
  <c r="W20" i="55" s="1"/>
  <c r="W21" i="55"/>
  <c r="W22" i="55" s="1"/>
  <c r="W23" i="55" s="1"/>
  <c r="W24" i="55" s="1"/>
  <c r="W25" i="55" s="1"/>
  <c r="W26" i="55" s="1"/>
  <c r="W27" i="55" s="1"/>
  <c r="V17" i="55"/>
  <c r="V18" i="55"/>
  <c r="V19" i="55" s="1"/>
  <c r="V20" i="55" s="1"/>
  <c r="V21" i="55" s="1"/>
  <c r="V22" i="55"/>
  <c r="V23" i="55" s="1"/>
  <c r="V24" i="55" s="1"/>
  <c r="V25" i="55" s="1"/>
  <c r="V26" i="55" s="1"/>
  <c r="V27" i="55" s="1"/>
  <c r="U17" i="55"/>
  <c r="U18" i="55" s="1"/>
  <c r="U19" i="55" s="1"/>
  <c r="U20" i="55" s="1"/>
  <c r="U21" i="55" s="1"/>
  <c r="U22" i="55" s="1"/>
  <c r="U23" i="55" s="1"/>
  <c r="U24" i="55" s="1"/>
  <c r="U25" i="55" s="1"/>
  <c r="U26" i="55" s="1"/>
  <c r="U27" i="55" s="1"/>
  <c r="T17" i="55"/>
  <c r="T18" i="55" s="1"/>
  <c r="T19" i="55" s="1"/>
  <c r="T20" i="55" s="1"/>
  <c r="T21" i="55" s="1"/>
  <c r="T22" i="55" s="1"/>
  <c r="T23" i="55" s="1"/>
  <c r="T24" i="55" s="1"/>
  <c r="T25" i="55" s="1"/>
  <c r="T26" i="55" s="1"/>
  <c r="T27" i="55" s="1"/>
  <c r="S17" i="55"/>
  <c r="S18" i="55" s="1"/>
  <c r="S19" i="55" s="1"/>
  <c r="S20" i="55" s="1"/>
  <c r="S21" i="55" s="1"/>
  <c r="S22" i="55" s="1"/>
  <c r="S23" i="55" s="1"/>
  <c r="S24" i="55" s="1"/>
  <c r="S25" i="55" s="1"/>
  <c r="S26" i="55" s="1"/>
  <c r="S27" i="55" s="1"/>
  <c r="R17" i="55"/>
  <c r="R18" i="55"/>
  <c r="R19" i="55" s="1"/>
  <c r="R20" i="55" s="1"/>
  <c r="R21" i="55" s="1"/>
  <c r="R22" i="55" s="1"/>
  <c r="R23" i="55" s="1"/>
  <c r="R24" i="55" s="1"/>
  <c r="R25" i="55" s="1"/>
  <c r="R26" i="55" s="1"/>
  <c r="R27" i="55" s="1"/>
  <c r="Q17" i="55"/>
  <c r="Q18" i="55" s="1"/>
  <c r="Q19" i="55" s="1"/>
  <c r="Q20" i="55" s="1"/>
  <c r="Q21" i="55" s="1"/>
  <c r="Q22" i="55" s="1"/>
  <c r="Q23" i="55" s="1"/>
  <c r="Q24" i="55" s="1"/>
  <c r="Q25" i="55" s="1"/>
  <c r="Q26" i="55" s="1"/>
  <c r="Q27" i="55" s="1"/>
  <c r="P17" i="55"/>
  <c r="P18" i="55" s="1"/>
  <c r="P19" i="55" s="1"/>
  <c r="P20" i="55" s="1"/>
  <c r="P21" i="55" s="1"/>
  <c r="P22" i="55" s="1"/>
  <c r="P23" i="55" s="1"/>
  <c r="P24" i="55" s="1"/>
  <c r="P25" i="55" s="1"/>
  <c r="P26" i="55" s="1"/>
  <c r="P27" i="55" s="1"/>
  <c r="O17" i="55"/>
  <c r="O18" i="55" s="1"/>
  <c r="O19" i="55" s="1"/>
  <c r="O20" i="55" s="1"/>
  <c r="O21" i="55"/>
  <c r="O22" i="55" s="1"/>
  <c r="O23" i="55" s="1"/>
  <c r="O24" i="55" s="1"/>
  <c r="O25" i="55" s="1"/>
  <c r="O26" i="55" s="1"/>
  <c r="O27" i="55" s="1"/>
  <c r="N17" i="55"/>
  <c r="N18" i="55"/>
  <c r="N19" i="55" s="1"/>
  <c r="N20" i="55" s="1"/>
  <c r="N21" i="55" s="1"/>
  <c r="N22" i="55"/>
  <c r="N23" i="55" s="1"/>
  <c r="N24" i="55" s="1"/>
  <c r="N25" i="55" s="1"/>
  <c r="N26" i="55" s="1"/>
  <c r="N27" i="55" s="1"/>
  <c r="M17" i="55"/>
  <c r="M18" i="55" s="1"/>
  <c r="M19" i="55" s="1"/>
  <c r="M20" i="55" s="1"/>
  <c r="M21" i="55" s="1"/>
  <c r="M22" i="55" s="1"/>
  <c r="M23" i="55" s="1"/>
  <c r="M24" i="55" s="1"/>
  <c r="M25" i="55" s="1"/>
  <c r="M26" i="55" s="1"/>
  <c r="M27" i="55" s="1"/>
  <c r="L17" i="55"/>
  <c r="L18" i="55" s="1"/>
  <c r="L19" i="55" s="1"/>
  <c r="L20" i="55" s="1"/>
  <c r="L21" i="55" s="1"/>
  <c r="L22" i="55" s="1"/>
  <c r="L23" i="55" s="1"/>
  <c r="L24" i="55" s="1"/>
  <c r="L25" i="55" s="1"/>
  <c r="L26" i="55" s="1"/>
  <c r="L27" i="55" s="1"/>
  <c r="K17" i="55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J17" i="55"/>
  <c r="J18" i="55"/>
  <c r="J19" i="55" s="1"/>
  <c r="J20" i="55" s="1"/>
  <c r="J21" i="55" s="1"/>
  <c r="J22" i="55"/>
  <c r="J23" i="55" s="1"/>
  <c r="J24" i="55" s="1"/>
  <c r="J25" i="55" s="1"/>
  <c r="J26" i="55" s="1"/>
  <c r="J27" i="55" s="1"/>
  <c r="I17" i="55"/>
  <c r="I18" i="55" s="1"/>
  <c r="I19" i="55" s="1"/>
  <c r="I20" i="55" s="1"/>
  <c r="I21" i="55" s="1"/>
  <c r="I22" i="55" s="1"/>
  <c r="I23" i="55" s="1"/>
  <c r="I24" i="55"/>
  <c r="I25" i="55" s="1"/>
  <c r="I26" i="55" s="1"/>
  <c r="I27" i="55" s="1"/>
  <c r="H17" i="55"/>
  <c r="H18" i="55" s="1"/>
  <c r="H19" i="55" s="1"/>
  <c r="H20" i="55" s="1"/>
  <c r="H21" i="55"/>
  <c r="H22" i="55" s="1"/>
  <c r="H23" i="55" s="1"/>
  <c r="H24" i="55" s="1"/>
  <c r="H25" i="55" s="1"/>
  <c r="H26" i="55" s="1"/>
  <c r="H27" i="55" s="1"/>
  <c r="G17" i="55"/>
  <c r="G18" i="55"/>
  <c r="G19" i="55" s="1"/>
  <c r="G20" i="55" s="1"/>
  <c r="G21" i="55" s="1"/>
  <c r="G22" i="55" s="1"/>
  <c r="G23" i="55" s="1"/>
  <c r="G24" i="55" s="1"/>
  <c r="G25" i="55" s="1"/>
  <c r="G26" i="55" s="1"/>
  <c r="G27" i="55" s="1"/>
  <c r="F17" i="55"/>
  <c r="F18" i="55"/>
  <c r="F19" i="55" s="1"/>
  <c r="F20" i="55" s="1"/>
  <c r="F21" i="55" s="1"/>
  <c r="F22" i="55"/>
  <c r="F23" i="55" s="1"/>
  <c r="F24" i="55" s="1"/>
  <c r="F25" i="55" s="1"/>
  <c r="F26" i="55" s="1"/>
  <c r="F27" i="55" s="1"/>
  <c r="E17" i="55"/>
  <c r="E18" i="55" s="1"/>
  <c r="E19" i="55" s="1"/>
  <c r="E20" i="55" s="1"/>
  <c r="E21" i="55" s="1"/>
  <c r="E22" i="55" s="1"/>
  <c r="E23" i="55" s="1"/>
  <c r="E24" i="55"/>
  <c r="E25" i="55" s="1"/>
  <c r="E26" i="55" s="1"/>
  <c r="E27" i="55" s="1"/>
  <c r="D17" i="55"/>
  <c r="D18" i="55" s="1"/>
  <c r="D19" i="55" s="1"/>
  <c r="D20" i="55" s="1"/>
  <c r="D21" i="55"/>
  <c r="D22" i="55" s="1"/>
  <c r="D23" i="55" s="1"/>
  <c r="D24" i="55" s="1"/>
  <c r="D25" i="55" s="1"/>
  <c r="D26" i="55" s="1"/>
  <c r="D27" i="55" s="1"/>
  <c r="C17" i="55"/>
  <c r="C18" i="55"/>
  <c r="C19" i="55" s="1"/>
  <c r="C20" i="55" s="1"/>
  <c r="C21" i="55" s="1"/>
  <c r="C22" i="55" s="1"/>
  <c r="C23" i="55" s="1"/>
  <c r="C24" i="55" s="1"/>
  <c r="C25" i="55" s="1"/>
  <c r="C26" i="55" s="1"/>
  <c r="C27" i="55" s="1"/>
  <c r="B17" i="55"/>
  <c r="B18" i="55"/>
  <c r="B19" i="55" s="1"/>
  <c r="B20" i="55" s="1"/>
  <c r="B21" i="55" s="1"/>
  <c r="B22" i="55"/>
  <c r="B23" i="55" s="1"/>
  <c r="B24" i="55" s="1"/>
  <c r="B25" i="55" s="1"/>
  <c r="B26" i="55" s="1"/>
  <c r="B27" i="55" s="1"/>
  <c r="AC16" i="55"/>
  <c r="AB16" i="55"/>
  <c r="AA16" i="55"/>
  <c r="Z16" i="55"/>
  <c r="Y16" i="55"/>
  <c r="X16" i="55"/>
  <c r="W16" i="55"/>
  <c r="V16" i="55"/>
  <c r="U16" i="55"/>
  <c r="T16" i="55"/>
  <c r="S16" i="55"/>
  <c r="Q16" i="55"/>
  <c r="P16" i="55"/>
  <c r="O16" i="55"/>
  <c r="N16" i="55"/>
  <c r="M16" i="55"/>
  <c r="L16" i="55"/>
  <c r="K16" i="55"/>
  <c r="J16" i="55"/>
  <c r="I16" i="55"/>
  <c r="H16" i="55"/>
  <c r="G16" i="55"/>
  <c r="F16" i="55"/>
  <c r="E16" i="55"/>
  <c r="D16" i="55"/>
  <c r="C16" i="55"/>
  <c r="B16" i="55"/>
  <c r="AC17" i="48"/>
  <c r="AC18" i="48" s="1"/>
  <c r="AC19" i="48" s="1"/>
  <c r="AC20" i="48"/>
  <c r="AC21" i="48" s="1"/>
  <c r="AC22" i="48" s="1"/>
  <c r="AC23" i="48" s="1"/>
  <c r="AC24" i="48" s="1"/>
  <c r="AC25" i="48" s="1"/>
  <c r="AC26" i="48" s="1"/>
  <c r="AC27" i="48" s="1"/>
  <c r="AB17" i="48"/>
  <c r="AB18" i="48" s="1"/>
  <c r="AB19" i="48" s="1"/>
  <c r="AB20" i="48" s="1"/>
  <c r="AB21" i="48" s="1"/>
  <c r="AB22" i="48" s="1"/>
  <c r="AB23" i="48" s="1"/>
  <c r="AB24" i="48" s="1"/>
  <c r="AB25" i="48" s="1"/>
  <c r="AB26" i="48" s="1"/>
  <c r="AB27" i="48" s="1"/>
  <c r="AA17" i="48"/>
  <c r="AA18" i="48"/>
  <c r="AA19" i="48"/>
  <c r="AA20" i="48" s="1"/>
  <c r="AA21" i="48" s="1"/>
  <c r="AA22" i="48" s="1"/>
  <c r="AA23" i="48" s="1"/>
  <c r="AA24" i="48" s="1"/>
  <c r="AA25" i="48" s="1"/>
  <c r="AA26" i="48" s="1"/>
  <c r="AA27" i="48" s="1"/>
  <c r="Z21" i="48"/>
  <c r="Z22" i="48" s="1"/>
  <c r="Z23" i="48" s="1"/>
  <c r="Z24" i="48" s="1"/>
  <c r="Z25" i="48" s="1"/>
  <c r="Z26" i="48" s="1"/>
  <c r="Z27" i="48" s="1"/>
  <c r="Y17" i="48"/>
  <c r="Y18" i="48" s="1"/>
  <c r="Y19" i="48" s="1"/>
  <c r="Y20" i="48" s="1"/>
  <c r="Y21" i="48" s="1"/>
  <c r="Y22" i="48" s="1"/>
  <c r="Y23" i="48" s="1"/>
  <c r="Y24" i="48" s="1"/>
  <c r="Y25" i="48" s="1"/>
  <c r="Y26" i="48" s="1"/>
  <c r="Y27" i="48" s="1"/>
  <c r="X17" i="48"/>
  <c r="X18" i="48" s="1"/>
  <c r="X19" i="48" s="1"/>
  <c r="X20" i="48" s="1"/>
  <c r="X21" i="48" s="1"/>
  <c r="X22" i="48" s="1"/>
  <c r="X23" i="48" s="1"/>
  <c r="X24" i="48" s="1"/>
  <c r="X25" i="48" s="1"/>
  <c r="X26" i="48" s="1"/>
  <c r="X27" i="48" s="1"/>
  <c r="W17" i="48"/>
  <c r="W18" i="48"/>
  <c r="W19" i="48" s="1"/>
  <c r="W20" i="48" s="1"/>
  <c r="W21" i="48" s="1"/>
  <c r="W22" i="48" s="1"/>
  <c r="W23" i="48"/>
  <c r="W24" i="48" s="1"/>
  <c r="W25" i="48" s="1"/>
  <c r="W26" i="48" s="1"/>
  <c r="W27" i="48" s="1"/>
  <c r="V17" i="48"/>
  <c r="V18" i="48" s="1"/>
  <c r="V19" i="48"/>
  <c r="V20" i="48" s="1"/>
  <c r="V21" i="48" s="1"/>
  <c r="V22" i="48" s="1"/>
  <c r="V23" i="48" s="1"/>
  <c r="V24" i="48" s="1"/>
  <c r="V25" i="48" s="1"/>
  <c r="V26" i="48" s="1"/>
  <c r="V27" i="48" s="1"/>
  <c r="U17" i="48"/>
  <c r="U18" i="48" s="1"/>
  <c r="U19" i="48" s="1"/>
  <c r="U20" i="48" s="1"/>
  <c r="U21" i="48" s="1"/>
  <c r="U22" i="48" s="1"/>
  <c r="U23" i="48" s="1"/>
  <c r="U24" i="48" s="1"/>
  <c r="U25" i="48" s="1"/>
  <c r="U26" i="48" s="1"/>
  <c r="U27" i="48" s="1"/>
  <c r="T17" i="48"/>
  <c r="T18" i="48" s="1"/>
  <c r="T19" i="48" s="1"/>
  <c r="T20" i="48" s="1"/>
  <c r="T21" i="48" s="1"/>
  <c r="T22" i="48" s="1"/>
  <c r="T23" i="48" s="1"/>
  <c r="T24" i="48" s="1"/>
  <c r="T25" i="48" s="1"/>
  <c r="T26" i="48" s="1"/>
  <c r="T27" i="48" s="1"/>
  <c r="S17" i="48"/>
  <c r="S18" i="48"/>
  <c r="S19" i="48" s="1"/>
  <c r="S20" i="48" s="1"/>
  <c r="S21" i="48" s="1"/>
  <c r="S22" i="48" s="1"/>
  <c r="S23" i="48"/>
  <c r="S24" i="48" s="1"/>
  <c r="S25" i="48" s="1"/>
  <c r="S26" i="48" s="1"/>
  <c r="S27" i="48" s="1"/>
  <c r="R17" i="48"/>
  <c r="R18" i="48" s="1"/>
  <c r="R19" i="48"/>
  <c r="R20" i="48" s="1"/>
  <c r="R21" i="48" s="1"/>
  <c r="R22" i="48" s="1"/>
  <c r="R23" i="48" s="1"/>
  <c r="R24" i="48" s="1"/>
  <c r="R25" i="48" s="1"/>
  <c r="R26" i="48" s="1"/>
  <c r="R27" i="48" s="1"/>
  <c r="Q17" i="48"/>
  <c r="Q18" i="48" s="1"/>
  <c r="Q19" i="48" s="1"/>
  <c r="Q20" i="48" s="1"/>
  <c r="Q21" i="48" s="1"/>
  <c r="Q22" i="48" s="1"/>
  <c r="Q23" i="48" s="1"/>
  <c r="Q24" i="48" s="1"/>
  <c r="Q25" i="48" s="1"/>
  <c r="Q26" i="48" s="1"/>
  <c r="Q27" i="48" s="1"/>
  <c r="P17" i="48"/>
  <c r="P18" i="48" s="1"/>
  <c r="P19" i="48" s="1"/>
  <c r="P20" i="48" s="1"/>
  <c r="P21" i="48" s="1"/>
  <c r="P22" i="48" s="1"/>
  <c r="P23" i="48" s="1"/>
  <c r="P24" i="48" s="1"/>
  <c r="P25" i="48" s="1"/>
  <c r="P26" i="48" s="1"/>
  <c r="P27" i="48" s="1"/>
  <c r="O17" i="48"/>
  <c r="O18" i="48"/>
  <c r="O19" i="48" s="1"/>
  <c r="O20" i="48" s="1"/>
  <c r="O21" i="48" s="1"/>
  <c r="O22" i="48" s="1"/>
  <c r="O23" i="48"/>
  <c r="O24" i="48" s="1"/>
  <c r="O25" i="48" s="1"/>
  <c r="O26" i="48" s="1"/>
  <c r="O27" i="48" s="1"/>
  <c r="N17" i="48"/>
  <c r="N18" i="48" s="1"/>
  <c r="N19" i="48"/>
  <c r="N20" i="48" s="1"/>
  <c r="N21" i="48" s="1"/>
  <c r="N22" i="48" s="1"/>
  <c r="N23" i="48" s="1"/>
  <c r="N24" i="48" s="1"/>
  <c r="N25" i="48" s="1"/>
  <c r="N26" i="48" s="1"/>
  <c r="N27" i="48" s="1"/>
  <c r="M17" i="48"/>
  <c r="M18" i="48" s="1"/>
  <c r="M19" i="48" s="1"/>
  <c r="M20" i="48" s="1"/>
  <c r="M21" i="48" s="1"/>
  <c r="M22" i="48" s="1"/>
  <c r="M23" i="48" s="1"/>
  <c r="M24" i="48" s="1"/>
  <c r="M25" i="48" s="1"/>
  <c r="M26" i="48" s="1"/>
  <c r="M27" i="48" s="1"/>
  <c r="L17" i="48"/>
  <c r="L18" i="48" s="1"/>
  <c r="L19" i="48" s="1"/>
  <c r="L20" i="48" s="1"/>
  <c r="L21" i="48" s="1"/>
  <c r="L22" i="48" s="1"/>
  <c r="L23" i="48" s="1"/>
  <c r="L24" i="48" s="1"/>
  <c r="L25" i="48" s="1"/>
  <c r="L26" i="48" s="1"/>
  <c r="L27" i="48" s="1"/>
  <c r="K17" i="48"/>
  <c r="K18" i="48"/>
  <c r="K19" i="48" s="1"/>
  <c r="K20" i="48" s="1"/>
  <c r="K21" i="48" s="1"/>
  <c r="K22" i="48" s="1"/>
  <c r="K23" i="48"/>
  <c r="K24" i="48" s="1"/>
  <c r="K25" i="48" s="1"/>
  <c r="K26" i="48" s="1"/>
  <c r="K27" i="48" s="1"/>
  <c r="J17" i="48"/>
  <c r="J18" i="48" s="1"/>
  <c r="J19" i="48"/>
  <c r="J20" i="48" s="1"/>
  <c r="J21" i="48" s="1"/>
  <c r="J22" i="48" s="1"/>
  <c r="J23" i="48" s="1"/>
  <c r="J24" i="48" s="1"/>
  <c r="J25" i="48" s="1"/>
  <c r="J26" i="48" s="1"/>
  <c r="J27" i="48" s="1"/>
  <c r="I17" i="48"/>
  <c r="I18" i="48" s="1"/>
  <c r="I19" i="48" s="1"/>
  <c r="I20" i="48" s="1"/>
  <c r="I21" i="48" s="1"/>
  <c r="I22" i="48" s="1"/>
  <c r="I23" i="48" s="1"/>
  <c r="I24" i="48" s="1"/>
  <c r="I25" i="48" s="1"/>
  <c r="I26" i="48" s="1"/>
  <c r="I27" i="48" s="1"/>
  <c r="H17" i="48"/>
  <c r="H18" i="48" s="1"/>
  <c r="H19" i="48" s="1"/>
  <c r="H20" i="48" s="1"/>
  <c r="H21" i="48" s="1"/>
  <c r="H22" i="48" s="1"/>
  <c r="H23" i="48" s="1"/>
  <c r="H24" i="48" s="1"/>
  <c r="H25" i="48" s="1"/>
  <c r="H26" i="48" s="1"/>
  <c r="H27" i="48" s="1"/>
  <c r="G17" i="48"/>
  <c r="G18" i="48"/>
  <c r="G19" i="48" s="1"/>
  <c r="G20" i="48" s="1"/>
  <c r="G21" i="48" s="1"/>
  <c r="G22" i="48" s="1"/>
  <c r="G23" i="48"/>
  <c r="G24" i="48" s="1"/>
  <c r="G25" i="48" s="1"/>
  <c r="G26" i="48" s="1"/>
  <c r="G27" i="48" s="1"/>
  <c r="F17" i="48"/>
  <c r="F18" i="48" s="1"/>
  <c r="F19" i="48"/>
  <c r="F20" i="48" s="1"/>
  <c r="F21" i="48" s="1"/>
  <c r="F22" i="48" s="1"/>
  <c r="F23" i="48" s="1"/>
  <c r="F24" i="48" s="1"/>
  <c r="F25" i="48" s="1"/>
  <c r="F26" i="48" s="1"/>
  <c r="E17" i="48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D17" i="48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C17" i="48"/>
  <c r="C18" i="48"/>
  <c r="C19" i="48" s="1"/>
  <c r="C20" i="48" s="1"/>
  <c r="C21" i="48" s="1"/>
  <c r="C22" i="48" s="1"/>
  <c r="C23" i="48"/>
  <c r="C24" i="48" s="1"/>
  <c r="C25" i="48" s="1"/>
  <c r="C26" i="48" s="1"/>
  <c r="C27" i="48" s="1"/>
  <c r="B17" i="48"/>
  <c r="B18" i="48" s="1"/>
  <c r="B19" i="48"/>
  <c r="B20" i="48" s="1"/>
  <c r="B21" i="48" s="1"/>
  <c r="B22" i="48" s="1"/>
  <c r="B23" i="48" s="1"/>
  <c r="B24" i="48" s="1"/>
  <c r="B25" i="48" s="1"/>
  <c r="B26" i="48" s="1"/>
  <c r="B27" i="48" s="1"/>
  <c r="AC16" i="48"/>
  <c r="AB16" i="48"/>
  <c r="AA16" i="48"/>
  <c r="Z16" i="48"/>
  <c r="Y16" i="48"/>
  <c r="X16" i="48"/>
  <c r="W16" i="48"/>
  <c r="V16" i="48"/>
  <c r="U16" i="48"/>
  <c r="T16" i="48"/>
  <c r="S16" i="48"/>
  <c r="R16" i="48"/>
  <c r="Q16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D16" i="48"/>
  <c r="C16" i="48"/>
  <c r="B16" i="48"/>
  <c r="AC17" i="47"/>
  <c r="AC18" i="47" s="1"/>
  <c r="AC19" i="47" s="1"/>
  <c r="AC20" i="47" s="1"/>
  <c r="AC21" i="47" s="1"/>
  <c r="AC22" i="47" s="1"/>
  <c r="AC23" i="47" s="1"/>
  <c r="AC24" i="47" s="1"/>
  <c r="AC25" i="47" s="1"/>
  <c r="AC26" i="47" s="1"/>
  <c r="AC27" i="47" s="1"/>
  <c r="AB17" i="47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A17" i="47"/>
  <c r="AA18" i="47"/>
  <c r="AA19" i="47" s="1"/>
  <c r="AA20" i="47" s="1"/>
  <c r="AA21" i="47" s="1"/>
  <c r="AA22" i="47" s="1"/>
  <c r="AA23" i="47"/>
  <c r="AA24" i="47" s="1"/>
  <c r="AA25" i="47" s="1"/>
  <c r="AA26" i="47" s="1"/>
  <c r="AA27" i="47" s="1"/>
  <c r="Z17" i="47"/>
  <c r="Z18" i="47" s="1"/>
  <c r="Z19" i="47"/>
  <c r="Z20" i="47" s="1"/>
  <c r="Z21" i="47" s="1"/>
  <c r="Z22" i="47" s="1"/>
  <c r="Z23" i="47" s="1"/>
  <c r="Z24" i="47" s="1"/>
  <c r="Z25" i="47" s="1"/>
  <c r="Z26" i="47" s="1"/>
  <c r="Z27" i="47" s="1"/>
  <c r="Y17" i="47"/>
  <c r="Y18" i="47" s="1"/>
  <c r="Y19" i="47" s="1"/>
  <c r="Y20" i="47" s="1"/>
  <c r="Y21" i="47" s="1"/>
  <c r="Y22" i="47" s="1"/>
  <c r="Y23" i="47" s="1"/>
  <c r="Y24" i="47" s="1"/>
  <c r="Y25" i="47" s="1"/>
  <c r="Y26" i="47" s="1"/>
  <c r="Y27" i="47" s="1"/>
  <c r="X17" i="47"/>
  <c r="X18" i="47" s="1"/>
  <c r="X19" i="47" s="1"/>
  <c r="X20" i="47" s="1"/>
  <c r="X21" i="47" s="1"/>
  <c r="X22" i="47" s="1"/>
  <c r="X23" i="47" s="1"/>
  <c r="X24" i="47" s="1"/>
  <c r="X25" i="47" s="1"/>
  <c r="X26" i="47" s="1"/>
  <c r="X27" i="47" s="1"/>
  <c r="W17" i="47"/>
  <c r="W18" i="47"/>
  <c r="W19" i="47" s="1"/>
  <c r="W20" i="47" s="1"/>
  <c r="W21" i="47" s="1"/>
  <c r="W22" i="47" s="1"/>
  <c r="W23" i="47"/>
  <c r="W24" i="47" s="1"/>
  <c r="W25" i="47" s="1"/>
  <c r="W26" i="47" s="1"/>
  <c r="W27" i="47" s="1"/>
  <c r="V17" i="47"/>
  <c r="V18" i="47" s="1"/>
  <c r="V19" i="47"/>
  <c r="V20" i="47" s="1"/>
  <c r="V21" i="47" s="1"/>
  <c r="V22" i="47" s="1"/>
  <c r="V23" i="47" s="1"/>
  <c r="V24" i="47" s="1"/>
  <c r="V25" i="47" s="1"/>
  <c r="V26" i="47" s="1"/>
  <c r="V27" i="47" s="1"/>
  <c r="U17" i="47"/>
  <c r="U18" i="47" s="1"/>
  <c r="U19" i="47" s="1"/>
  <c r="U20" i="47" s="1"/>
  <c r="U21" i="47" s="1"/>
  <c r="U22" i="47" s="1"/>
  <c r="U23" i="47" s="1"/>
  <c r="U24" i="47" s="1"/>
  <c r="U25" i="47" s="1"/>
  <c r="U26" i="47" s="1"/>
  <c r="U27" i="47" s="1"/>
  <c r="T17" i="47"/>
  <c r="T18" i="47" s="1"/>
  <c r="T19" i="47" s="1"/>
  <c r="T20" i="47" s="1"/>
  <c r="T21" i="47" s="1"/>
  <c r="T22" i="47" s="1"/>
  <c r="T23" i="47" s="1"/>
  <c r="T24" i="47" s="1"/>
  <c r="T25" i="47" s="1"/>
  <c r="T26" i="47" s="1"/>
  <c r="T27" i="47" s="1"/>
  <c r="S17" i="47"/>
  <c r="S18" i="47"/>
  <c r="S19" i="47" s="1"/>
  <c r="S20" i="47" s="1"/>
  <c r="S21" i="47" s="1"/>
  <c r="S22" i="47" s="1"/>
  <c r="S23" i="47"/>
  <c r="S24" i="47" s="1"/>
  <c r="S25" i="47" s="1"/>
  <c r="S26" i="47" s="1"/>
  <c r="S27" i="47" s="1"/>
  <c r="R20" i="47"/>
  <c r="R21" i="47" s="1"/>
  <c r="R22" i="47"/>
  <c r="R23" i="47" s="1"/>
  <c r="R24" i="47" s="1"/>
  <c r="R25" i="47" s="1"/>
  <c r="R26" i="47" s="1"/>
  <c r="R27" i="47" s="1"/>
  <c r="Q17" i="47"/>
  <c r="Q18" i="47" s="1"/>
  <c r="Q19" i="47" s="1"/>
  <c r="Q20" i="47" s="1"/>
  <c r="Q21" i="47" s="1"/>
  <c r="Q22" i="47" s="1"/>
  <c r="Q23" i="47" s="1"/>
  <c r="Q24" i="47"/>
  <c r="Q25" i="47" s="1"/>
  <c r="Q26" i="47" s="1"/>
  <c r="Q27" i="47" s="1"/>
  <c r="P17" i="47"/>
  <c r="P18" i="47" s="1"/>
  <c r="P19" i="47" s="1"/>
  <c r="P20" i="47" s="1"/>
  <c r="P21" i="47"/>
  <c r="P22" i="47" s="1"/>
  <c r="P23" i="47" s="1"/>
  <c r="P24" i="47" s="1"/>
  <c r="P25" i="47" s="1"/>
  <c r="P26" i="47" s="1"/>
  <c r="P27" i="47" s="1"/>
  <c r="O17" i="47"/>
  <c r="O18" i="47"/>
  <c r="O19" i="47" s="1"/>
  <c r="O20" i="47" s="1"/>
  <c r="O21" i="47" s="1"/>
  <c r="O22" i="47" s="1"/>
  <c r="O23" i="47" s="1"/>
  <c r="O24" i="47" s="1"/>
  <c r="O25" i="47" s="1"/>
  <c r="O26" i="47" s="1"/>
  <c r="O27" i="47" s="1"/>
  <c r="N17" i="47"/>
  <c r="N18" i="47"/>
  <c r="N19" i="47" s="1"/>
  <c r="N20" i="47" s="1"/>
  <c r="N21" i="47" s="1"/>
  <c r="N22" i="47"/>
  <c r="N23" i="47" s="1"/>
  <c r="N24" i="47" s="1"/>
  <c r="N25" i="47" s="1"/>
  <c r="N26" i="47" s="1"/>
  <c r="N27" i="47" s="1"/>
  <c r="M17" i="47"/>
  <c r="M18" i="47" s="1"/>
  <c r="M19" i="47" s="1"/>
  <c r="M20" i="47" s="1"/>
  <c r="M21" i="47" s="1"/>
  <c r="M22" i="47" s="1"/>
  <c r="M23" i="47" s="1"/>
  <c r="M24" i="47"/>
  <c r="M25" i="47" s="1"/>
  <c r="M26" i="47" s="1"/>
  <c r="M27" i="47" s="1"/>
  <c r="L17" i="47"/>
  <c r="L18" i="47" s="1"/>
  <c r="L19" i="47" s="1"/>
  <c r="L20" i="47" s="1"/>
  <c r="L21" i="47"/>
  <c r="L22" i="47" s="1"/>
  <c r="L23" i="47" s="1"/>
  <c r="L24" i="47" s="1"/>
  <c r="L25" i="47" s="1"/>
  <c r="L26" i="47" s="1"/>
  <c r="L27" i="47" s="1"/>
  <c r="K17" i="47"/>
  <c r="K18" i="47"/>
  <c r="K19" i="47" s="1"/>
  <c r="K20" i="47" s="1"/>
  <c r="K21" i="47" s="1"/>
  <c r="K22" i="47" s="1"/>
  <c r="K23" i="47" s="1"/>
  <c r="K24" i="47" s="1"/>
  <c r="K25" i="47" s="1"/>
  <c r="K26" i="47" s="1"/>
  <c r="K27" i="47" s="1"/>
  <c r="J21" i="47"/>
  <c r="J22" i="47"/>
  <c r="J23" i="47" s="1"/>
  <c r="J24" i="47" s="1"/>
  <c r="J25" i="47" s="1"/>
  <c r="J26" i="47"/>
  <c r="J27" i="47" s="1"/>
  <c r="I17" i="47"/>
  <c r="I18" i="47" s="1"/>
  <c r="I19" i="47" s="1"/>
  <c r="I20" i="47"/>
  <c r="I21" i="47" s="1"/>
  <c r="I22" i="47" s="1"/>
  <c r="I23" i="47" s="1"/>
  <c r="I24" i="47" s="1"/>
  <c r="I25" i="47" s="1"/>
  <c r="I26" i="47" s="1"/>
  <c r="I27" i="47" s="1"/>
  <c r="H17" i="47"/>
  <c r="H18" i="47" s="1"/>
  <c r="H19" i="47" s="1"/>
  <c r="H20" i="47" s="1"/>
  <c r="H21" i="47" s="1"/>
  <c r="H22" i="47" s="1"/>
  <c r="H23" i="47" s="1"/>
  <c r="H24" i="47" s="1"/>
  <c r="H25" i="47"/>
  <c r="H26" i="47" s="1"/>
  <c r="H27" i="47" s="1"/>
  <c r="G17" i="47"/>
  <c r="G18" i="47" s="1"/>
  <c r="G19" i="47" s="1"/>
  <c r="G20" i="47" s="1"/>
  <c r="G21" i="47" s="1"/>
  <c r="G22" i="47"/>
  <c r="G23" i="47" s="1"/>
  <c r="G24" i="47" s="1"/>
  <c r="G25" i="47" s="1"/>
  <c r="G26" i="47" s="1"/>
  <c r="G27" i="47" s="1"/>
  <c r="F17" i="47"/>
  <c r="F18" i="47"/>
  <c r="F19" i="47" s="1"/>
  <c r="F20" i="47" s="1"/>
  <c r="F21" i="47" s="1"/>
  <c r="F22" i="47" s="1"/>
  <c r="F23" i="47" s="1"/>
  <c r="F24" i="47" s="1"/>
  <c r="F25" i="47" s="1"/>
  <c r="F26" i="47" s="1"/>
  <c r="E17" i="47"/>
  <c r="E18" i="47" s="1"/>
  <c r="E19" i="47" s="1"/>
  <c r="E20" i="47" s="1"/>
  <c r="E21" i="47" s="1"/>
  <c r="E22" i="47" s="1"/>
  <c r="E23" i="47" s="1"/>
  <c r="E24" i="47" s="1"/>
  <c r="E25" i="47" s="1"/>
  <c r="E26" i="47" s="1"/>
  <c r="E27" i="47" s="1"/>
  <c r="D17" i="47"/>
  <c r="D18" i="47" s="1"/>
  <c r="D19" i="47" s="1"/>
  <c r="D20" i="47" s="1"/>
  <c r="D21" i="47" s="1"/>
  <c r="D22" i="47" s="1"/>
  <c r="D23" i="47" s="1"/>
  <c r="D24" i="47" s="1"/>
  <c r="D25" i="47" s="1"/>
  <c r="D26" i="47" s="1"/>
  <c r="D27" i="47" s="1"/>
  <c r="C17" i="47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B17" i="47"/>
  <c r="B18" i="47"/>
  <c r="B19" i="47" s="1"/>
  <c r="B20" i="47" s="1"/>
  <c r="B21" i="47" s="1"/>
  <c r="B22" i="47" s="1"/>
  <c r="B23" i="47" s="1"/>
  <c r="B24" i="47" s="1"/>
  <c r="B25" i="47" s="1"/>
  <c r="B26" i="47"/>
  <c r="B27" i="47" s="1"/>
  <c r="AC16" i="47"/>
  <c r="AB16" i="47"/>
  <c r="AA16" i="47"/>
  <c r="Z16" i="47"/>
  <c r="Y16" i="47"/>
  <c r="X16" i="47"/>
  <c r="W16" i="47"/>
  <c r="V16" i="47"/>
  <c r="U16" i="47"/>
  <c r="T16" i="47"/>
  <c r="S16" i="47"/>
  <c r="R16" i="47"/>
  <c r="Q16" i="47"/>
  <c r="P16" i="47"/>
  <c r="O16" i="47"/>
  <c r="N16" i="47"/>
  <c r="M16" i="47"/>
  <c r="L16" i="47"/>
  <c r="K16" i="47"/>
  <c r="I16" i="47"/>
  <c r="H16" i="47"/>
  <c r="G16" i="47"/>
  <c r="F16" i="47"/>
  <c r="E16" i="47"/>
  <c r="D16" i="47"/>
  <c r="C16" i="47"/>
  <c r="B16" i="47"/>
  <c r="AC17" i="43"/>
  <c r="AC18" i="43" s="1"/>
  <c r="AC19" i="43" s="1"/>
  <c r="AC20" i="43" s="1"/>
  <c r="AC21" i="43" s="1"/>
  <c r="AC22" i="43" s="1"/>
  <c r="AC23" i="43" s="1"/>
  <c r="AC24" i="43" s="1"/>
  <c r="AC25" i="43" s="1"/>
  <c r="AC26" i="43" s="1"/>
  <c r="AC27" i="43" s="1"/>
  <c r="AB17" i="43"/>
  <c r="AB18" i="43" s="1"/>
  <c r="AB19" i="43" s="1"/>
  <c r="AB20" i="43" s="1"/>
  <c r="AB21" i="43" s="1"/>
  <c r="AB22" i="43" s="1"/>
  <c r="AB23" i="43" s="1"/>
  <c r="AB24" i="43" s="1"/>
  <c r="AB25" i="43" s="1"/>
  <c r="AB26" i="43" s="1"/>
  <c r="AB27" i="43" s="1"/>
  <c r="AA17" i="43"/>
  <c r="AA18" i="43"/>
  <c r="AA19" i="43" s="1"/>
  <c r="AA20" i="43" s="1"/>
  <c r="AA21" i="43" s="1"/>
  <c r="AA22" i="43" s="1"/>
  <c r="AA23" i="43" s="1"/>
  <c r="AA24" i="43" s="1"/>
  <c r="AA25" i="43" s="1"/>
  <c r="AA26" i="43" s="1"/>
  <c r="AA27" i="43" s="1"/>
  <c r="Z18" i="43"/>
  <c r="Z19" i="43" s="1"/>
  <c r="Z20" i="43" s="1"/>
  <c r="Z21" i="43"/>
  <c r="Z22" i="43" s="1"/>
  <c r="Z23" i="43" s="1"/>
  <c r="Z24" i="43" s="1"/>
  <c r="Z25" i="43" s="1"/>
  <c r="Z26" i="43" s="1"/>
  <c r="Z27" i="43" s="1"/>
  <c r="Y17" i="43"/>
  <c r="Y18" i="43" s="1"/>
  <c r="Y19" i="43" s="1"/>
  <c r="Y20" i="43" s="1"/>
  <c r="Y21" i="43" s="1"/>
  <c r="Y22" i="43" s="1"/>
  <c r="Y23" i="43" s="1"/>
  <c r="Y24" i="43" s="1"/>
  <c r="Y25" i="43" s="1"/>
  <c r="Y26" i="43" s="1"/>
  <c r="Y27" i="43" s="1"/>
  <c r="X17" i="43"/>
  <c r="X18" i="43"/>
  <c r="X19" i="43"/>
  <c r="X20" i="43" s="1"/>
  <c r="X21" i="43" s="1"/>
  <c r="X22" i="43" s="1"/>
  <c r="X23" i="43" s="1"/>
  <c r="X24" i="43"/>
  <c r="X25" i="43" s="1"/>
  <c r="X26" i="43" s="1"/>
  <c r="X27" i="43" s="1"/>
  <c r="W17" i="43"/>
  <c r="W18" i="43" s="1"/>
  <c r="W19" i="43"/>
  <c r="W20" i="43" s="1"/>
  <c r="W21" i="43" s="1"/>
  <c r="W22" i="43" s="1"/>
  <c r="W23" i="43" s="1"/>
  <c r="W24" i="43" s="1"/>
  <c r="W25" i="43" s="1"/>
  <c r="W26" i="43" s="1"/>
  <c r="W27" i="43" s="1"/>
  <c r="V17" i="43"/>
  <c r="V18" i="43"/>
  <c r="V19" i="43" s="1"/>
  <c r="V20" i="43" s="1"/>
  <c r="V21" i="43" s="1"/>
  <c r="V22" i="43" s="1"/>
  <c r="V23" i="43" s="1"/>
  <c r="V24" i="43"/>
  <c r="V25" i="43" s="1"/>
  <c r="V26" i="43" s="1"/>
  <c r="V27" i="43" s="1"/>
  <c r="U17" i="43"/>
  <c r="U18" i="43"/>
  <c r="U19" i="43" s="1"/>
  <c r="U20" i="43" s="1"/>
  <c r="U21" i="43" s="1"/>
  <c r="U22" i="43" s="1"/>
  <c r="U23" i="43" s="1"/>
  <c r="U24" i="43" s="1"/>
  <c r="U25" i="43" s="1"/>
  <c r="U26" i="43" s="1"/>
  <c r="U27" i="43" s="1"/>
  <c r="T17" i="43"/>
  <c r="T18" i="43"/>
  <c r="T19" i="43" s="1"/>
  <c r="T20" i="43" s="1"/>
  <c r="T21" i="43" s="1"/>
  <c r="T22" i="43"/>
  <c r="T23" i="43" s="1"/>
  <c r="T24" i="43" s="1"/>
  <c r="T25" i="43" s="1"/>
  <c r="T26" i="43" s="1"/>
  <c r="T27" i="43" s="1"/>
  <c r="S17" i="43"/>
  <c r="S18" i="43" s="1"/>
  <c r="S19" i="43" s="1"/>
  <c r="S20" i="43" s="1"/>
  <c r="S21" i="43" s="1"/>
  <c r="S22" i="43" s="1"/>
  <c r="S23" i="43" s="1"/>
  <c r="S24" i="43" s="1"/>
  <c r="S25" i="43" s="1"/>
  <c r="S26" i="43" s="1"/>
  <c r="S27" i="43" s="1"/>
  <c r="R17" i="43"/>
  <c r="R18" i="43" s="1"/>
  <c r="R19" i="43" s="1"/>
  <c r="R20" i="43" s="1"/>
  <c r="R21" i="43"/>
  <c r="R22" i="43" s="1"/>
  <c r="R23" i="43" s="1"/>
  <c r="R24" i="43" s="1"/>
  <c r="R25" i="43" s="1"/>
  <c r="R26" i="43" s="1"/>
  <c r="R27" i="43" s="1"/>
  <c r="Q17" i="43"/>
  <c r="Q18" i="43" s="1"/>
  <c r="Q19" i="43" s="1"/>
  <c r="Q20" i="43" s="1"/>
  <c r="Q21" i="43" s="1"/>
  <c r="Q22" i="43" s="1"/>
  <c r="Q23" i="43" s="1"/>
  <c r="Q24" i="43" s="1"/>
  <c r="Q25" i="43" s="1"/>
  <c r="Q26" i="43" s="1"/>
  <c r="Q27" i="43" s="1"/>
  <c r="P17" i="43"/>
  <c r="P18" i="43"/>
  <c r="P19" i="43"/>
  <c r="P20" i="43" s="1"/>
  <c r="P21" i="43" s="1"/>
  <c r="P22" i="43" s="1"/>
  <c r="P23" i="43" s="1"/>
  <c r="P24" i="43"/>
  <c r="P25" i="43" s="1"/>
  <c r="P26" i="43" s="1"/>
  <c r="P27" i="43" s="1"/>
  <c r="O17" i="43"/>
  <c r="O18" i="43" s="1"/>
  <c r="O19" i="43"/>
  <c r="O20" i="43" s="1"/>
  <c r="O21" i="43" s="1"/>
  <c r="O22" i="43" s="1"/>
  <c r="O23" i="43" s="1"/>
  <c r="O24" i="43" s="1"/>
  <c r="O25" i="43" s="1"/>
  <c r="O26" i="43" s="1"/>
  <c r="O27" i="43" s="1"/>
  <c r="N17" i="43"/>
  <c r="N18" i="43"/>
  <c r="N19" i="43" s="1"/>
  <c r="N20" i="43" s="1"/>
  <c r="N21" i="43" s="1"/>
  <c r="N22" i="43" s="1"/>
  <c r="N23" i="43" s="1"/>
  <c r="N24" i="43"/>
  <c r="N25" i="43" s="1"/>
  <c r="N26" i="43" s="1"/>
  <c r="N27" i="43" s="1"/>
  <c r="M17" i="43"/>
  <c r="M18" i="43"/>
  <c r="M19" i="43" s="1"/>
  <c r="M20" i="43" s="1"/>
  <c r="M21" i="43" s="1"/>
  <c r="M22" i="43" s="1"/>
  <c r="M23" i="43" s="1"/>
  <c r="M24" i="43" s="1"/>
  <c r="M25" i="43" s="1"/>
  <c r="M26" i="43" s="1"/>
  <c r="M27" i="43" s="1"/>
  <c r="L17" i="43"/>
  <c r="L18" i="43"/>
  <c r="L19" i="43" s="1"/>
  <c r="L20" i="43" s="1"/>
  <c r="L21" i="43" s="1"/>
  <c r="L22" i="43"/>
  <c r="L23" i="43" s="1"/>
  <c r="L24" i="43" s="1"/>
  <c r="L25" i="43" s="1"/>
  <c r="L26" i="43" s="1"/>
  <c r="L27" i="43" s="1"/>
  <c r="K17" i="43"/>
  <c r="K18" i="43" s="1"/>
  <c r="K19" i="43" s="1"/>
  <c r="K20" i="43" s="1"/>
  <c r="K21" i="43" s="1"/>
  <c r="K22" i="43" s="1"/>
  <c r="K23" i="43" s="1"/>
  <c r="K24" i="43" s="1"/>
  <c r="K25" i="43" s="1"/>
  <c r="K26" i="43" s="1"/>
  <c r="K27" i="43" s="1"/>
  <c r="J17" i="43"/>
  <c r="J18" i="43" s="1"/>
  <c r="J19" i="43" s="1"/>
  <c r="J20" i="43" s="1"/>
  <c r="J21" i="43"/>
  <c r="J22" i="43" s="1"/>
  <c r="J23" i="43" s="1"/>
  <c r="J24" i="43" s="1"/>
  <c r="J25" i="43" s="1"/>
  <c r="J26" i="43" s="1"/>
  <c r="J27" i="43" s="1"/>
  <c r="I17" i="43"/>
  <c r="I18" i="43" s="1"/>
  <c r="I19" i="43" s="1"/>
  <c r="I20" i="43" s="1"/>
  <c r="I21" i="43" s="1"/>
  <c r="I22" i="43" s="1"/>
  <c r="I23" i="43" s="1"/>
  <c r="I24" i="43" s="1"/>
  <c r="I25" i="43" s="1"/>
  <c r="I26" i="43" s="1"/>
  <c r="I27" i="43" s="1"/>
  <c r="H17" i="43"/>
  <c r="H18" i="43"/>
  <c r="H19" i="43"/>
  <c r="H20" i="43" s="1"/>
  <c r="H21" i="43" s="1"/>
  <c r="H22" i="43" s="1"/>
  <c r="H23" i="43" s="1"/>
  <c r="H24" i="43"/>
  <c r="H25" i="43" s="1"/>
  <c r="H26" i="43" s="1"/>
  <c r="H27" i="43" s="1"/>
  <c r="G17" i="43"/>
  <c r="G18" i="43" s="1"/>
  <c r="G19" i="43"/>
  <c r="G20" i="43" s="1"/>
  <c r="G21" i="43" s="1"/>
  <c r="G22" i="43" s="1"/>
  <c r="G23" i="43" s="1"/>
  <c r="G24" i="43" s="1"/>
  <c r="G25" i="43" s="1"/>
  <c r="G26" i="43" s="1"/>
  <c r="G27" i="43" s="1"/>
  <c r="F17" i="43"/>
  <c r="F18" i="43"/>
  <c r="F19" i="43" s="1"/>
  <c r="F20" i="43" s="1"/>
  <c r="F21" i="43" s="1"/>
  <c r="F22" i="43" s="1"/>
  <c r="F23" i="43" s="1"/>
  <c r="F24" i="43"/>
  <c r="F25" i="43" s="1"/>
  <c r="F26" i="43" s="1"/>
  <c r="F27" i="43" s="1"/>
  <c r="E17" i="43"/>
  <c r="E18" i="43"/>
  <c r="E19" i="43" s="1"/>
  <c r="E20" i="43" s="1"/>
  <c r="E21" i="43" s="1"/>
  <c r="E22" i="43" s="1"/>
  <c r="E23" i="43" s="1"/>
  <c r="E24" i="43" s="1"/>
  <c r="E25" i="43" s="1"/>
  <c r="E26" i="43" s="1"/>
  <c r="E27" i="43" s="1"/>
  <c r="D17" i="43"/>
  <c r="D18" i="43"/>
  <c r="D19" i="43" s="1"/>
  <c r="D20" i="43" s="1"/>
  <c r="D21" i="43" s="1"/>
  <c r="D22" i="43"/>
  <c r="D23" i="43" s="1"/>
  <c r="D24" i="43" s="1"/>
  <c r="D25" i="43" s="1"/>
  <c r="D26" i="43" s="1"/>
  <c r="D27" i="43" s="1"/>
  <c r="C17" i="43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B17" i="43"/>
  <c r="B18" i="43" s="1"/>
  <c r="B19" i="43" s="1"/>
  <c r="B20" i="43" s="1"/>
  <c r="B21" i="43"/>
  <c r="B22" i="43" s="1"/>
  <c r="B23" i="43" s="1"/>
  <c r="B24" i="43" s="1"/>
  <c r="B25" i="43" s="1"/>
  <c r="B26" i="43" s="1"/>
  <c r="AC16" i="43"/>
  <c r="AB16" i="43"/>
  <c r="AA16" i="43"/>
  <c r="Z16" i="43"/>
  <c r="Y16" i="43"/>
  <c r="X16" i="43"/>
  <c r="W16" i="43"/>
  <c r="V16" i="43"/>
  <c r="U16" i="43"/>
  <c r="T16" i="43"/>
  <c r="S16" i="43"/>
  <c r="R16" i="43"/>
  <c r="Q16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B16" i="43"/>
  <c r="AC17" i="23"/>
  <c r="AC18" i="23" s="1"/>
  <c r="AC19" i="23" s="1"/>
  <c r="AC20" i="23" s="1"/>
  <c r="AC21" i="23" s="1"/>
  <c r="AC22" i="23" s="1"/>
  <c r="AC23" i="23" s="1"/>
  <c r="AC24" i="23" s="1"/>
  <c r="AC25" i="23" s="1"/>
  <c r="AC26" i="23" s="1"/>
  <c r="AC27" i="23" s="1"/>
  <c r="AB17" i="23"/>
  <c r="AB18" i="23"/>
  <c r="AB19" i="23"/>
  <c r="AB20" i="23" s="1"/>
  <c r="AB21" i="23" s="1"/>
  <c r="AB22" i="23" s="1"/>
  <c r="AB23" i="23" s="1"/>
  <c r="AB24" i="23"/>
  <c r="AB25" i="23" s="1"/>
  <c r="AB26" i="23" s="1"/>
  <c r="AB27" i="23" s="1"/>
  <c r="AA17" i="23"/>
  <c r="AA18" i="23" s="1"/>
  <c r="AA19" i="23"/>
  <c r="AA20" i="23" s="1"/>
  <c r="AA21" i="23" s="1"/>
  <c r="AA22" i="23" s="1"/>
  <c r="AA23" i="23" s="1"/>
  <c r="AA24" i="23" s="1"/>
  <c r="AA25" i="23" s="1"/>
  <c r="AA26" i="23" s="1"/>
  <c r="AA27" i="23" s="1"/>
  <c r="Z17" i="23"/>
  <c r="Z18" i="23"/>
  <c r="Z19" i="23" s="1"/>
  <c r="Z20" i="23" s="1"/>
  <c r="Z21" i="23" s="1"/>
  <c r="Z22" i="23" s="1"/>
  <c r="Z23" i="23" s="1"/>
  <c r="Z24" i="23"/>
  <c r="Z25" i="23" s="1"/>
  <c r="Z26" i="23" s="1"/>
  <c r="Z27" i="23" s="1"/>
  <c r="Y17" i="23"/>
  <c r="Y18" i="23"/>
  <c r="Y19" i="23" s="1"/>
  <c r="Y20" i="23" s="1"/>
  <c r="Y21" i="23" s="1"/>
  <c r="Y22" i="23" s="1"/>
  <c r="Y23" i="23" s="1"/>
  <c r="Y24" i="23" s="1"/>
  <c r="Y25" i="23" s="1"/>
  <c r="Y26" i="23" s="1"/>
  <c r="Y27" i="23" s="1"/>
  <c r="X17" i="23"/>
  <c r="X18" i="23"/>
  <c r="X19" i="23" s="1"/>
  <c r="X20" i="23" s="1"/>
  <c r="X21" i="23" s="1"/>
  <c r="X22" i="23"/>
  <c r="X23" i="23" s="1"/>
  <c r="X24" i="23" s="1"/>
  <c r="X25" i="23" s="1"/>
  <c r="X26" i="23" s="1"/>
  <c r="X27" i="23" s="1"/>
  <c r="W17" i="23"/>
  <c r="W18" i="23" s="1"/>
  <c r="W19" i="23" s="1"/>
  <c r="W20" i="23" s="1"/>
  <c r="W21" i="23" s="1"/>
  <c r="W22" i="23" s="1"/>
  <c r="W23" i="23" s="1"/>
  <c r="W24" i="23" s="1"/>
  <c r="W25" i="23" s="1"/>
  <c r="W26" i="23" s="1"/>
  <c r="W27" i="23" s="1"/>
  <c r="V17" i="23"/>
  <c r="V18" i="23" s="1"/>
  <c r="V19" i="23" s="1"/>
  <c r="V20" i="23" s="1"/>
  <c r="V21" i="23"/>
  <c r="V22" i="23" s="1"/>
  <c r="V23" i="23" s="1"/>
  <c r="V24" i="23" s="1"/>
  <c r="V25" i="23" s="1"/>
  <c r="V26" i="23" s="1"/>
  <c r="V27" i="23" s="1"/>
  <c r="U17" i="23"/>
  <c r="U18" i="23" s="1"/>
  <c r="U19" i="23" s="1"/>
  <c r="U20" i="23" s="1"/>
  <c r="U21" i="23" s="1"/>
  <c r="U22" i="23" s="1"/>
  <c r="U23" i="23" s="1"/>
  <c r="U24" i="23" s="1"/>
  <c r="U25" i="23" s="1"/>
  <c r="U26" i="23" s="1"/>
  <c r="U27" i="23" s="1"/>
  <c r="T17" i="23"/>
  <c r="T18" i="23"/>
  <c r="T19" i="23"/>
  <c r="T20" i="23" s="1"/>
  <c r="T21" i="23" s="1"/>
  <c r="T22" i="23" s="1"/>
  <c r="T23" i="23" s="1"/>
  <c r="T24" i="23"/>
  <c r="T25" i="23" s="1"/>
  <c r="T26" i="23" s="1"/>
  <c r="T27" i="23" s="1"/>
  <c r="S17" i="23"/>
  <c r="S18" i="23" s="1"/>
  <c r="S19" i="23"/>
  <c r="S20" i="23" s="1"/>
  <c r="S21" i="23" s="1"/>
  <c r="S22" i="23" s="1"/>
  <c r="S23" i="23" s="1"/>
  <c r="S24" i="23" s="1"/>
  <c r="S25" i="23" s="1"/>
  <c r="S26" i="23" s="1"/>
  <c r="S27" i="23" s="1"/>
  <c r="R17" i="23"/>
  <c r="R18" i="23"/>
  <c r="R19" i="23" s="1"/>
  <c r="R20" i="23" s="1"/>
  <c r="R21" i="23" s="1"/>
  <c r="R22" i="23" s="1"/>
  <c r="R23" i="23" s="1"/>
  <c r="R24" i="23"/>
  <c r="R25" i="23" s="1"/>
  <c r="R26" i="23" s="1"/>
  <c r="R27" i="23" s="1"/>
  <c r="Q17" i="23"/>
  <c r="Q18" i="23"/>
  <c r="Q19" i="23" s="1"/>
  <c r="Q20" i="23" s="1"/>
  <c r="Q21" i="23" s="1"/>
  <c r="Q22" i="23" s="1"/>
  <c r="Q23" i="23" s="1"/>
  <c r="Q24" i="23" s="1"/>
  <c r="Q25" i="23" s="1"/>
  <c r="Q26" i="23" s="1"/>
  <c r="Q27" i="23" s="1"/>
  <c r="P17" i="23"/>
  <c r="P18" i="23"/>
  <c r="P19" i="23" s="1"/>
  <c r="P20" i="23" s="1"/>
  <c r="P21" i="23" s="1"/>
  <c r="P22" i="23"/>
  <c r="P23" i="23" s="1"/>
  <c r="P24" i="23" s="1"/>
  <c r="P25" i="23" s="1"/>
  <c r="P26" i="23" s="1"/>
  <c r="P27" i="23" s="1"/>
  <c r="O17" i="23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N17" i="23"/>
  <c r="N18" i="23" s="1"/>
  <c r="N19" i="23" s="1"/>
  <c r="N20" i="23" s="1"/>
  <c r="N21" i="23"/>
  <c r="N22" i="23" s="1"/>
  <c r="N23" i="23" s="1"/>
  <c r="N24" i="23" s="1"/>
  <c r="N25" i="23" s="1"/>
  <c r="N26" i="23" s="1"/>
  <c r="N27" i="23" s="1"/>
  <c r="M17" i="23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L17" i="23"/>
  <c r="L18" i="23"/>
  <c r="L19" i="23"/>
  <c r="L20" i="23" s="1"/>
  <c r="L21" i="23" s="1"/>
  <c r="L22" i="23" s="1"/>
  <c r="L23" i="23" s="1"/>
  <c r="L24" i="23"/>
  <c r="L25" i="23" s="1"/>
  <c r="L26" i="23" s="1"/>
  <c r="L27" i="23" s="1"/>
  <c r="K17" i="23"/>
  <c r="K18" i="23" s="1"/>
  <c r="K19" i="23"/>
  <c r="K20" i="23" s="1"/>
  <c r="K21" i="23" s="1"/>
  <c r="K22" i="23" s="1"/>
  <c r="K23" i="23" s="1"/>
  <c r="K24" i="23" s="1"/>
  <c r="K25" i="23" s="1"/>
  <c r="K26" i="23" s="1"/>
  <c r="K27" i="23" s="1"/>
  <c r="J17" i="23"/>
  <c r="J18" i="23"/>
  <c r="J19" i="23" s="1"/>
  <c r="J20" i="23" s="1"/>
  <c r="J21" i="23" s="1"/>
  <c r="J22" i="23" s="1"/>
  <c r="J23" i="23" s="1"/>
  <c r="J24" i="23"/>
  <c r="J25" i="23" s="1"/>
  <c r="J26" i="23" s="1"/>
  <c r="J27" i="23" s="1"/>
  <c r="I17" i="23"/>
  <c r="I18" i="23"/>
  <c r="I19" i="23" s="1"/>
  <c r="I20" i="23" s="1"/>
  <c r="I21" i="23" s="1"/>
  <c r="I22" i="23" s="1"/>
  <c r="I23" i="23" s="1"/>
  <c r="I24" i="23" s="1"/>
  <c r="I25" i="23" s="1"/>
  <c r="I26" i="23" s="1"/>
  <c r="I27" i="23" s="1"/>
  <c r="H17" i="23"/>
  <c r="H18" i="23"/>
  <c r="H19" i="23" s="1"/>
  <c r="H20" i="23" s="1"/>
  <c r="H21" i="23" s="1"/>
  <c r="H22" i="23"/>
  <c r="H23" i="23" s="1"/>
  <c r="H24" i="23" s="1"/>
  <c r="H25" i="23" s="1"/>
  <c r="H26" i="23" s="1"/>
  <c r="H27" i="23" s="1"/>
  <c r="G17" i="23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F17" i="23"/>
  <c r="F18" i="23" s="1"/>
  <c r="F19" i="23" s="1"/>
  <c r="F20" i="23" s="1"/>
  <c r="F21" i="23"/>
  <c r="F22" i="23" s="1"/>
  <c r="F23" i="23" s="1"/>
  <c r="F24" i="23" s="1"/>
  <c r="F25" i="23" s="1"/>
  <c r="F26" i="23" s="1"/>
  <c r="E17" i="23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D17" i="23"/>
  <c r="D18" i="23"/>
  <c r="D19" i="23"/>
  <c r="D20" i="23" s="1"/>
  <c r="D21" i="23" s="1"/>
  <c r="D22" i="23" s="1"/>
  <c r="D23" i="23" s="1"/>
  <c r="D24" i="23"/>
  <c r="D25" i="23" s="1"/>
  <c r="D26" i="23" s="1"/>
  <c r="D27" i="23" s="1"/>
  <c r="C17" i="23"/>
  <c r="C18" i="23" s="1"/>
  <c r="C19" i="23"/>
  <c r="C20" i="23" s="1"/>
  <c r="C21" i="23" s="1"/>
  <c r="C22" i="23" s="1"/>
  <c r="C23" i="23" s="1"/>
  <c r="C24" i="23" s="1"/>
  <c r="C25" i="23" s="1"/>
  <c r="C26" i="23" s="1"/>
  <c r="C27" i="23" s="1"/>
  <c r="B17" i="23"/>
  <c r="B18" i="23"/>
  <c r="B19" i="23" s="1"/>
  <c r="B20" i="23" s="1"/>
  <c r="B21" i="23" s="1"/>
  <c r="B22" i="23" s="1"/>
  <c r="B23" i="23" s="1"/>
  <c r="B24" i="23"/>
  <c r="B25" i="23" s="1"/>
  <c r="B26" i="23" s="1"/>
  <c r="B27" i="23" s="1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C17" i="16"/>
  <c r="AC18" i="16"/>
  <c r="AC19" i="16" s="1"/>
  <c r="AC20" i="16" s="1"/>
  <c r="AC21" i="16" s="1"/>
  <c r="AC22" i="16" s="1"/>
  <c r="AC23" i="16" s="1"/>
  <c r="AC24" i="16" s="1"/>
  <c r="AC25" i="16" s="1"/>
  <c r="AC26" i="16" s="1"/>
  <c r="AC27" i="16" s="1"/>
  <c r="AB17" i="16"/>
  <c r="AB18" i="16"/>
  <c r="AB19" i="16" s="1"/>
  <c r="AB20" i="16" s="1"/>
  <c r="AB21" i="16" s="1"/>
  <c r="AB22" i="16"/>
  <c r="AB23" i="16" s="1"/>
  <c r="AB24" i="16" s="1"/>
  <c r="AB25" i="16" s="1"/>
  <c r="AB26" i="16" s="1"/>
  <c r="AB27" i="16" s="1"/>
  <c r="AA17" i="16"/>
  <c r="AA18" i="16" s="1"/>
  <c r="AA19" i="16" s="1"/>
  <c r="AA20" i="16" s="1"/>
  <c r="AA21" i="16" s="1"/>
  <c r="AA22" i="16" s="1"/>
  <c r="AA23" i="16" s="1"/>
  <c r="AA24" i="16" s="1"/>
  <c r="AA25" i="16" s="1"/>
  <c r="AA26" i="16" s="1"/>
  <c r="AA27" i="16" s="1"/>
  <c r="Z17" i="16"/>
  <c r="Z18" i="16" s="1"/>
  <c r="Z19" i="16"/>
  <c r="Z20" i="16" s="1"/>
  <c r="Z21" i="16" s="1"/>
  <c r="Z22" i="16" s="1"/>
  <c r="Z23" i="16" s="1"/>
  <c r="Z24" i="16" s="1"/>
  <c r="Z25" i="16" s="1"/>
  <c r="Z26" i="16" s="1"/>
  <c r="Z27" i="16" s="1"/>
  <c r="Y17" i="16"/>
  <c r="Y18" i="16" s="1"/>
  <c r="Y19" i="16" s="1"/>
  <c r="Y20" i="16"/>
  <c r="Y21" i="16" s="1"/>
  <c r="Y22" i="16" s="1"/>
  <c r="Y23" i="16" s="1"/>
  <c r="Y24" i="16" s="1"/>
  <c r="Y25" i="16" s="1"/>
  <c r="Y26" i="16" s="1"/>
  <c r="Y27" i="16" s="1"/>
  <c r="X17" i="16"/>
  <c r="X18" i="16" s="1"/>
  <c r="X19" i="16" s="1"/>
  <c r="X20" i="16" s="1"/>
  <c r="X21" i="16" s="1"/>
  <c r="X22" i="16" s="1"/>
  <c r="X23" i="16" s="1"/>
  <c r="X24" i="16" s="1"/>
  <c r="X25" i="16" s="1"/>
  <c r="X26" i="16" s="1"/>
  <c r="X27" i="16" s="1"/>
  <c r="W17" i="16"/>
  <c r="W18" i="16"/>
  <c r="W19" i="16" s="1"/>
  <c r="W20" i="16" s="1"/>
  <c r="W21" i="16" s="1"/>
  <c r="W22" i="16" s="1"/>
  <c r="W23" i="16" s="1"/>
  <c r="W24" i="16" s="1"/>
  <c r="W25" i="16" s="1"/>
  <c r="W26" i="16" s="1"/>
  <c r="W27" i="16" s="1"/>
  <c r="V20" i="16"/>
  <c r="V21" i="16" s="1"/>
  <c r="V22" i="16"/>
  <c r="V23" i="16" s="1"/>
  <c r="V24" i="16" s="1"/>
  <c r="V25" i="16" s="1"/>
  <c r="V26" i="16" s="1"/>
  <c r="V27" i="16" s="1"/>
  <c r="U17" i="16"/>
  <c r="U18" i="16" s="1"/>
  <c r="U19" i="16" s="1"/>
  <c r="U20" i="16" s="1"/>
  <c r="U21" i="16" s="1"/>
  <c r="U22" i="16" s="1"/>
  <c r="U23" i="16" s="1"/>
  <c r="U24" i="16" s="1"/>
  <c r="U25" i="16" s="1"/>
  <c r="U26" i="16" s="1"/>
  <c r="U27" i="16" s="1"/>
  <c r="T17" i="16"/>
  <c r="T18" i="16" s="1"/>
  <c r="T19" i="16" s="1"/>
  <c r="T20" i="16" s="1"/>
  <c r="T21" i="16" s="1"/>
  <c r="T22" i="16" s="1"/>
  <c r="T23" i="16" s="1"/>
  <c r="T24" i="16" s="1"/>
  <c r="T25" i="16" s="1"/>
  <c r="T26" i="16" s="1"/>
  <c r="T27" i="16" s="1"/>
  <c r="S17" i="16"/>
  <c r="S18" i="16" s="1"/>
  <c r="S19" i="16" s="1"/>
  <c r="S20" i="16" s="1"/>
  <c r="S21" i="16"/>
  <c r="S22" i="16" s="1"/>
  <c r="S23" i="16" s="1"/>
  <c r="S24" i="16" s="1"/>
  <c r="S25" i="16" s="1"/>
  <c r="S26" i="16" s="1"/>
  <c r="S27" i="16" s="1"/>
  <c r="R20" i="16"/>
  <c r="R21" i="16"/>
  <c r="R22" i="16" s="1"/>
  <c r="R23" i="16" s="1"/>
  <c r="R24" i="16" s="1"/>
  <c r="R25" i="16"/>
  <c r="R26" i="16" s="1"/>
  <c r="R27" i="16" s="1"/>
  <c r="Q17" i="16"/>
  <c r="Q18" i="16"/>
  <c r="Q19" i="16" s="1"/>
  <c r="Q20" i="16" s="1"/>
  <c r="Q21" i="16" s="1"/>
  <c r="Q22" i="16" s="1"/>
  <c r="Q23" i="16" s="1"/>
  <c r="Q24" i="16" s="1"/>
  <c r="Q25" i="16" s="1"/>
  <c r="Q26" i="16" s="1"/>
  <c r="Q27" i="16" s="1"/>
  <c r="P17" i="16"/>
  <c r="P18" i="16" s="1"/>
  <c r="P19" i="16"/>
  <c r="P20" i="16" s="1"/>
  <c r="P21" i="16" s="1"/>
  <c r="P22" i="16" s="1"/>
  <c r="P23" i="16" s="1"/>
  <c r="P24" i="16" s="1"/>
  <c r="P25" i="16" s="1"/>
  <c r="P26" i="16" s="1"/>
  <c r="P27" i="16" s="1"/>
  <c r="O17" i="16"/>
  <c r="O18" i="16" s="1"/>
  <c r="O19" i="16" s="1"/>
  <c r="O20" i="16"/>
  <c r="O21" i="16" s="1"/>
  <c r="O22" i="16" s="1"/>
  <c r="O23" i="16" s="1"/>
  <c r="O24" i="16" s="1"/>
  <c r="O25" i="16" s="1"/>
  <c r="O26" i="16" s="1"/>
  <c r="O27" i="16" s="1"/>
  <c r="N20" i="16"/>
  <c r="N21" i="16" s="1"/>
  <c r="N22" i="16" s="1"/>
  <c r="N23" i="16" s="1"/>
  <c r="N24" i="16" s="1"/>
  <c r="N25" i="16" s="1"/>
  <c r="N26" i="16" s="1"/>
  <c r="N27" i="16" s="1"/>
  <c r="M17" i="16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L17" i="16"/>
  <c r="L18" i="16"/>
  <c r="L19" i="16" s="1"/>
  <c r="L20" i="16" s="1"/>
  <c r="L21" i="16" s="1"/>
  <c r="L22" i="16" s="1"/>
  <c r="L23" i="16" s="1"/>
  <c r="L24" i="16" s="1"/>
  <c r="L25" i="16" s="1"/>
  <c r="L26" i="16" s="1"/>
  <c r="L27" i="16" s="1"/>
  <c r="K17" i="16"/>
  <c r="K18" i="16" s="1"/>
  <c r="K19" i="16"/>
  <c r="K20" i="16" s="1"/>
  <c r="K21" i="16" s="1"/>
  <c r="K22" i="16" s="1"/>
  <c r="K23" i="16" s="1"/>
  <c r="K24" i="16" s="1"/>
  <c r="K25" i="16" s="1"/>
  <c r="K26" i="16" s="1"/>
  <c r="K27" i="16" s="1"/>
  <c r="J20" i="16"/>
  <c r="J21" i="16" s="1"/>
  <c r="J22" i="16" s="1"/>
  <c r="J23" i="16"/>
  <c r="J24" i="16" s="1"/>
  <c r="J25" i="16" s="1"/>
  <c r="J26" i="16" s="1"/>
  <c r="J27" i="16" s="1"/>
  <c r="I17" i="16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H17" i="16"/>
  <c r="H18" i="16" s="1"/>
  <c r="H19" i="16" s="1"/>
  <c r="H20" i="16" s="1"/>
  <c r="H21" i="16"/>
  <c r="H22" i="16" s="1"/>
  <c r="H23" i="16" s="1"/>
  <c r="H24" i="16" s="1"/>
  <c r="H25" i="16" s="1"/>
  <c r="H26" i="16" s="1"/>
  <c r="H27" i="16" s="1"/>
  <c r="G17" i="16"/>
  <c r="G18" i="16"/>
  <c r="G19" i="16" s="1"/>
  <c r="G20" i="16" s="1"/>
  <c r="G21" i="16" s="1"/>
  <c r="G22" i="16"/>
  <c r="G23" i="16" s="1"/>
  <c r="G24" i="16" s="1"/>
  <c r="G25" i="16" s="1"/>
  <c r="G26" i="16" s="1"/>
  <c r="G27" i="16" s="1"/>
  <c r="F20" i="16"/>
  <c r="F21" i="16" s="1"/>
  <c r="F22" i="16" s="1"/>
  <c r="F23" i="16" s="1"/>
  <c r="F24" i="16" s="1"/>
  <c r="F25" i="16" s="1"/>
  <c r="F26" i="16" s="1"/>
  <c r="F27" i="16" s="1"/>
  <c r="E17" i="16"/>
  <c r="E18" i="16" s="1"/>
  <c r="E19" i="16"/>
  <c r="E20" i="16" s="1"/>
  <c r="E21" i="16" s="1"/>
  <c r="E22" i="16" s="1"/>
  <c r="E23" i="16" s="1"/>
  <c r="E24" i="16" s="1"/>
  <c r="E25" i="16" s="1"/>
  <c r="E26" i="16" s="1"/>
  <c r="E27" i="16" s="1"/>
  <c r="D17" i="16"/>
  <c r="D18" i="16" s="1"/>
  <c r="D19" i="16" s="1"/>
  <c r="D20" i="16"/>
  <c r="D21" i="16" s="1"/>
  <c r="D22" i="16" s="1"/>
  <c r="D23" i="16" s="1"/>
  <c r="D24" i="16" s="1"/>
  <c r="D25" i="16" s="1"/>
  <c r="D26" i="16" s="1"/>
  <c r="D27" i="16" s="1"/>
  <c r="C17" i="16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B20" i="16"/>
  <c r="B21" i="16"/>
  <c r="B22" i="16" s="1"/>
  <c r="B23" i="16" s="1"/>
  <c r="B24" i="16" s="1"/>
  <c r="B25" i="16" s="1"/>
  <c r="B26" i="16" s="1"/>
  <c r="B27" i="16" s="1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C17" i="12"/>
  <c r="AC18" i="12"/>
  <c r="AC19" i="12" s="1"/>
  <c r="AC20" i="12" s="1"/>
  <c r="AC21" i="12" s="1"/>
  <c r="AC22" i="12"/>
  <c r="AC23" i="12" s="1"/>
  <c r="AC24" i="12" s="1"/>
  <c r="AC25" i="12" s="1"/>
  <c r="AC26" i="12" s="1"/>
  <c r="AC27" i="12" s="1"/>
  <c r="AB17" i="12"/>
  <c r="AB18" i="12" s="1"/>
  <c r="AB19" i="12" s="1"/>
  <c r="AB20" i="12" s="1"/>
  <c r="AB21" i="12" s="1"/>
  <c r="AB22" i="12" s="1"/>
  <c r="AB23" i="12" s="1"/>
  <c r="AB24" i="12" s="1"/>
  <c r="AB25" i="12" s="1"/>
  <c r="AB26" i="12" s="1"/>
  <c r="AB27" i="12" s="1"/>
  <c r="AA17" i="12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Z20" i="12"/>
  <c r="Z21" i="12" s="1"/>
  <c r="Z22" i="12" s="1"/>
  <c r="Z23" i="12" s="1"/>
  <c r="Z24" i="12"/>
  <c r="Z25" i="12" s="1"/>
  <c r="Z26" i="12" s="1"/>
  <c r="Z27" i="12" s="1"/>
  <c r="AC16" i="12"/>
  <c r="AB16" i="12"/>
  <c r="AA16" i="12"/>
  <c r="Z16" i="12"/>
  <c r="Y17" i="12"/>
  <c r="Y18" i="12" s="1"/>
  <c r="Y19" i="12" s="1"/>
  <c r="Y20" i="12" s="1"/>
  <c r="Y21" i="12"/>
  <c r="Y22" i="12" s="1"/>
  <c r="Y23" i="12" s="1"/>
  <c r="Y24" i="12" s="1"/>
  <c r="Y25" i="12" s="1"/>
  <c r="Y26" i="12" s="1"/>
  <c r="Y27" i="12" s="1"/>
  <c r="X17" i="12"/>
  <c r="X18" i="12"/>
  <c r="X19" i="12" s="1"/>
  <c r="X20" i="12" s="1"/>
  <c r="X21" i="12" s="1"/>
  <c r="X22" i="12"/>
  <c r="X23" i="12" s="1"/>
  <c r="X24" i="12" s="1"/>
  <c r="X25" i="12" s="1"/>
  <c r="X26" i="12" s="1"/>
  <c r="X27" i="12" s="1"/>
  <c r="W17" i="12"/>
  <c r="W18" i="12" s="1"/>
  <c r="W19" i="12" s="1"/>
  <c r="W20" i="12" s="1"/>
  <c r="W21" i="12" s="1"/>
  <c r="W22" i="12" s="1"/>
  <c r="W23" i="12" s="1"/>
  <c r="W24" i="12" s="1"/>
  <c r="W25" i="12" s="1"/>
  <c r="W26" i="12" s="1"/>
  <c r="W27" i="12" s="1"/>
  <c r="V17" i="12"/>
  <c r="V18" i="12" s="1"/>
  <c r="V19" i="12" s="1"/>
  <c r="V20" i="12" s="1"/>
  <c r="V21" i="12" s="1"/>
  <c r="V22" i="12" s="1"/>
  <c r="V23" i="12" s="1"/>
  <c r="V24" i="12" s="1"/>
  <c r="V25" i="12" s="1"/>
  <c r="V26" i="12" s="1"/>
  <c r="V27" i="12" s="1"/>
  <c r="Y16" i="12"/>
  <c r="X16" i="12"/>
  <c r="W16" i="12"/>
  <c r="AC17" i="46"/>
  <c r="AC18" i="46"/>
  <c r="AC19" i="46" s="1"/>
  <c r="AC20" i="46" s="1"/>
  <c r="AC21" i="46" s="1"/>
  <c r="AC22" i="46"/>
  <c r="AC23" i="46" s="1"/>
  <c r="AC24" i="46" s="1"/>
  <c r="AC25" i="46" s="1"/>
  <c r="AC26" i="46" s="1"/>
  <c r="AC27" i="46" s="1"/>
  <c r="AB17" i="46"/>
  <c r="AB18" i="46" s="1"/>
  <c r="AB19" i="46" s="1"/>
  <c r="AB20" i="46" s="1"/>
  <c r="AB21" i="46" s="1"/>
  <c r="AB22" i="46" s="1"/>
  <c r="AB23" i="46" s="1"/>
  <c r="AB24" i="46" s="1"/>
  <c r="AB25" i="46" s="1"/>
  <c r="AB26" i="46" s="1"/>
  <c r="AB27" i="46" s="1"/>
  <c r="AA17" i="46"/>
  <c r="AA18" i="46" s="1"/>
  <c r="AA19" i="46" s="1"/>
  <c r="AA20" i="46" s="1"/>
  <c r="AA21" i="46" s="1"/>
  <c r="AA22" i="46" s="1"/>
  <c r="AA23" i="46" s="1"/>
  <c r="AA24" i="46"/>
  <c r="AA25" i="46" s="1"/>
  <c r="AA26" i="46" s="1"/>
  <c r="AA27" i="46" s="1"/>
  <c r="Z18" i="46"/>
  <c r="Z19" i="46" s="1"/>
  <c r="Z20" i="46" s="1"/>
  <c r="Z21" i="46" s="1"/>
  <c r="Z22" i="46"/>
  <c r="Z23" i="46" s="1"/>
  <c r="Z24" i="46" s="1"/>
  <c r="Z25" i="46" s="1"/>
  <c r="Z26" i="46" s="1"/>
  <c r="Z27" i="46" s="1"/>
  <c r="AC16" i="46"/>
  <c r="AB16" i="46"/>
  <c r="AA16" i="46"/>
  <c r="Z16" i="46"/>
  <c r="Y17" i="46"/>
  <c r="Y18" i="46" s="1"/>
  <c r="Y19" i="46" s="1"/>
  <c r="Y20" i="46" s="1"/>
  <c r="Y21" i="46" s="1"/>
  <c r="Y22" i="46" s="1"/>
  <c r="Y23" i="46" s="1"/>
  <c r="Y24" i="46" s="1"/>
  <c r="Y25" i="46" s="1"/>
  <c r="Y26" i="46" s="1"/>
  <c r="Y27" i="46" s="1"/>
  <c r="X17" i="46"/>
  <c r="X18" i="46" s="1"/>
  <c r="X19" i="46" s="1"/>
  <c r="X20" i="46" s="1"/>
  <c r="X21" i="46" s="1"/>
  <c r="X22" i="46" s="1"/>
  <c r="X23" i="46" s="1"/>
  <c r="X24" i="46" s="1"/>
  <c r="X25" i="46" s="1"/>
  <c r="X26" i="46" s="1"/>
  <c r="X27" i="46" s="1"/>
  <c r="W17" i="46"/>
  <c r="W18" i="46" s="1"/>
  <c r="W19" i="46" s="1"/>
  <c r="W20" i="46" s="1"/>
  <c r="W21" i="46"/>
  <c r="W22" i="46" s="1"/>
  <c r="W23" i="46" s="1"/>
  <c r="W24" i="46" s="1"/>
  <c r="W25" i="46" s="1"/>
  <c r="W26" i="46" s="1"/>
  <c r="W27" i="46" s="1"/>
  <c r="V17" i="46"/>
  <c r="V18" i="46"/>
  <c r="V19" i="46" s="1"/>
  <c r="V20" i="46" s="1"/>
  <c r="V21" i="46" s="1"/>
  <c r="V22" i="46"/>
  <c r="V23" i="46" s="1"/>
  <c r="V24" i="46" s="1"/>
  <c r="V25" i="46" s="1"/>
  <c r="V26" i="46" s="1"/>
  <c r="V27" i="46" s="1"/>
  <c r="U17" i="46"/>
  <c r="U18" i="46" s="1"/>
  <c r="U19" i="46" s="1"/>
  <c r="U20" i="46" s="1"/>
  <c r="U21" i="46" s="1"/>
  <c r="U22" i="46" s="1"/>
  <c r="U23" i="46" s="1"/>
  <c r="U24" i="46" s="1"/>
  <c r="U25" i="46" s="1"/>
  <c r="U26" i="46" s="1"/>
  <c r="U27" i="46" s="1"/>
  <c r="T17" i="46"/>
  <c r="T18" i="46" s="1"/>
  <c r="T19" i="46" s="1"/>
  <c r="T20" i="46" s="1"/>
  <c r="T21" i="46" s="1"/>
  <c r="T22" i="46" s="1"/>
  <c r="T23" i="46" s="1"/>
  <c r="T24" i="46" s="1"/>
  <c r="T25" i="46" s="1"/>
  <c r="T26" i="46" s="1"/>
  <c r="T27" i="46" s="1"/>
  <c r="S17" i="46"/>
  <c r="S18" i="46" s="1"/>
  <c r="S19" i="46" s="1"/>
  <c r="S20" i="46" s="1"/>
  <c r="S21" i="46"/>
  <c r="S22" i="46" s="1"/>
  <c r="S23" i="46" s="1"/>
  <c r="S24" i="46" s="1"/>
  <c r="S25" i="46" s="1"/>
  <c r="S26" i="46" s="1"/>
  <c r="S27" i="46" s="1"/>
  <c r="R20" i="46"/>
  <c r="R21" i="46"/>
  <c r="R22" i="46" s="1"/>
  <c r="R23" i="46" s="1"/>
  <c r="R24" i="46" s="1"/>
  <c r="R25" i="46"/>
  <c r="R26" i="46" s="1"/>
  <c r="R27" i="46" s="1"/>
  <c r="Q17" i="46"/>
  <c r="Q18" i="46"/>
  <c r="Q19" i="46" s="1"/>
  <c r="Q20" i="46" s="1"/>
  <c r="Q21" i="46" s="1"/>
  <c r="Q22" i="46" s="1"/>
  <c r="Q23" i="46" s="1"/>
  <c r="Q24" i="46" s="1"/>
  <c r="Q25" i="46" s="1"/>
  <c r="Q26" i="46" s="1"/>
  <c r="Q27" i="46" s="1"/>
  <c r="P17" i="46"/>
  <c r="P18" i="46" s="1"/>
  <c r="P19" i="46"/>
  <c r="P20" i="46" s="1"/>
  <c r="P21" i="46" s="1"/>
  <c r="P22" i="46" s="1"/>
  <c r="P23" i="46" s="1"/>
  <c r="P24" i="46" s="1"/>
  <c r="P25" i="46" s="1"/>
  <c r="P26" i="46" s="1"/>
  <c r="P27" i="46" s="1"/>
  <c r="O17" i="46"/>
  <c r="O18" i="46" s="1"/>
  <c r="O19" i="46" s="1"/>
  <c r="O20" i="46"/>
  <c r="O21" i="46" s="1"/>
  <c r="O22" i="46" s="1"/>
  <c r="O23" i="46" s="1"/>
  <c r="O24" i="46" s="1"/>
  <c r="O25" i="46" s="1"/>
  <c r="O26" i="46" s="1"/>
  <c r="O27" i="46" s="1"/>
  <c r="N20" i="46"/>
  <c r="N21" i="46" s="1"/>
  <c r="N22" i="46" s="1"/>
  <c r="N23" i="46" s="1"/>
  <c r="N24" i="46" s="1"/>
  <c r="N25" i="46" s="1"/>
  <c r="N26" i="46" s="1"/>
  <c r="N27" i="46" s="1"/>
  <c r="M17" i="46"/>
  <c r="M18" i="46" s="1"/>
  <c r="M19" i="46" s="1"/>
  <c r="M20" i="46" s="1"/>
  <c r="M21" i="46" s="1"/>
  <c r="M22" i="46" s="1"/>
  <c r="M23" i="46" s="1"/>
  <c r="M24" i="46" s="1"/>
  <c r="M25" i="46" s="1"/>
  <c r="M26" i="46" s="1"/>
  <c r="M27" i="46" s="1"/>
  <c r="L17" i="46"/>
  <c r="L18" i="46"/>
  <c r="L19" i="46" s="1"/>
  <c r="L20" i="46" s="1"/>
  <c r="L21" i="46" s="1"/>
  <c r="L22" i="46" s="1"/>
  <c r="L23" i="46" s="1"/>
  <c r="L24" i="46" s="1"/>
  <c r="L25" i="46" s="1"/>
  <c r="L26" i="46" s="1"/>
  <c r="L27" i="46" s="1"/>
  <c r="K17" i="46"/>
  <c r="K18" i="46" s="1"/>
  <c r="K19" i="46"/>
  <c r="K20" i="46" s="1"/>
  <c r="K21" i="46" s="1"/>
  <c r="K22" i="46" s="1"/>
  <c r="K23" i="46" s="1"/>
  <c r="K24" i="46" s="1"/>
  <c r="K25" i="46" s="1"/>
  <c r="K26" i="46" s="1"/>
  <c r="K27" i="46" s="1"/>
  <c r="J20" i="46"/>
  <c r="J21" i="46" s="1"/>
  <c r="J22" i="46" s="1"/>
  <c r="J23" i="46"/>
  <c r="J24" i="46" s="1"/>
  <c r="J25" i="46" s="1"/>
  <c r="J26" i="46" s="1"/>
  <c r="J27" i="46" s="1"/>
  <c r="I17" i="46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H17" i="46"/>
  <c r="H18" i="46" s="1"/>
  <c r="H19" i="46" s="1"/>
  <c r="H20" i="46" s="1"/>
  <c r="H21" i="46"/>
  <c r="H22" i="46" s="1"/>
  <c r="H23" i="46" s="1"/>
  <c r="H24" i="46" s="1"/>
  <c r="H25" i="46" s="1"/>
  <c r="H26" i="46" s="1"/>
  <c r="H27" i="46" s="1"/>
  <c r="G17" i="46"/>
  <c r="G18" i="46"/>
  <c r="G19" i="46" s="1"/>
  <c r="G20" i="46" s="1"/>
  <c r="G21" i="46" s="1"/>
  <c r="G22" i="46"/>
  <c r="G23" i="46" s="1"/>
  <c r="G24" i="46" s="1"/>
  <c r="G25" i="46" s="1"/>
  <c r="G26" i="46" s="1"/>
  <c r="G27" i="46" s="1"/>
  <c r="F20" i="46"/>
  <c r="F21" i="46" s="1"/>
  <c r="F22" i="46" s="1"/>
  <c r="F23" i="46" s="1"/>
  <c r="F24" i="46" s="1"/>
  <c r="F25" i="46" s="1"/>
  <c r="F26" i="46" s="1"/>
  <c r="E17" i="46"/>
  <c r="E18" i="46" s="1"/>
  <c r="E19" i="46"/>
  <c r="E20" i="46" s="1"/>
  <c r="E21" i="46" s="1"/>
  <c r="E22" i="46" s="1"/>
  <c r="E23" i="46" s="1"/>
  <c r="E24" i="46" s="1"/>
  <c r="E25" i="46" s="1"/>
  <c r="E26" i="46" s="1"/>
  <c r="E27" i="46" s="1"/>
  <c r="D17" i="46"/>
  <c r="D18" i="46" s="1"/>
  <c r="D19" i="46" s="1"/>
  <c r="D20" i="46"/>
  <c r="D21" i="46" s="1"/>
  <c r="D22" i="46" s="1"/>
  <c r="D23" i="46" s="1"/>
  <c r="D24" i="46" s="1"/>
  <c r="D25" i="46" s="1"/>
  <c r="D26" i="46" s="1"/>
  <c r="D27" i="46" s="1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B21" i="46"/>
  <c r="B22" i="46"/>
  <c r="B23" i="46" s="1"/>
  <c r="B24" i="46" s="1"/>
  <c r="B25" i="46" s="1"/>
  <c r="B26" i="46" s="1"/>
  <c r="B27" i="46" s="1"/>
  <c r="Y16" i="46"/>
  <c r="X16" i="46"/>
  <c r="W16" i="46"/>
  <c r="V16" i="46"/>
  <c r="U16" i="46"/>
  <c r="T16" i="46"/>
  <c r="S16" i="46"/>
  <c r="R16" i="46"/>
  <c r="Q16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C16" i="46"/>
  <c r="B16" i="46"/>
  <c r="Y17" i="44"/>
  <c r="Y18" i="44" s="1"/>
  <c r="Y19" i="44" s="1"/>
  <c r="Y20" i="44" s="1"/>
  <c r="Y21" i="44" s="1"/>
  <c r="Y22" i="44" s="1"/>
  <c r="Y23" i="44" s="1"/>
  <c r="Y24" i="44" s="1"/>
  <c r="Y25" i="44" s="1"/>
  <c r="Y26" i="44" s="1"/>
  <c r="Y27" i="44" s="1"/>
  <c r="X17" i="44"/>
  <c r="X18" i="44" s="1"/>
  <c r="X19" i="44" s="1"/>
  <c r="X20" i="44" s="1"/>
  <c r="X21" i="44" s="1"/>
  <c r="X22" i="44" s="1"/>
  <c r="X23" i="44" s="1"/>
  <c r="X24" i="44" s="1"/>
  <c r="X25" i="44" s="1"/>
  <c r="X26" i="44" s="1"/>
  <c r="X27" i="44" s="1"/>
  <c r="W17" i="44"/>
  <c r="W18" i="44" s="1"/>
  <c r="W19" i="44" s="1"/>
  <c r="W20" i="44" s="1"/>
  <c r="W21" i="44"/>
  <c r="W22" i="44" s="1"/>
  <c r="W23" i="44" s="1"/>
  <c r="W24" i="44" s="1"/>
  <c r="W25" i="44" s="1"/>
  <c r="W26" i="44" s="1"/>
  <c r="W27" i="44" s="1"/>
  <c r="V20" i="44"/>
  <c r="V21" i="44"/>
  <c r="V22" i="44" s="1"/>
  <c r="V23" i="44" s="1"/>
  <c r="V24" i="44" s="1"/>
  <c r="V25" i="44"/>
  <c r="V26" i="44" s="1"/>
  <c r="V27" i="44" s="1"/>
  <c r="U17" i="44"/>
  <c r="U18" i="44"/>
  <c r="U19" i="44" s="1"/>
  <c r="U20" i="44" s="1"/>
  <c r="U21" i="44" s="1"/>
  <c r="U22" i="44" s="1"/>
  <c r="U23" i="44" s="1"/>
  <c r="U24" i="44" s="1"/>
  <c r="U25" i="44" s="1"/>
  <c r="U26" i="44" s="1"/>
  <c r="U27" i="44" s="1"/>
  <c r="T17" i="44"/>
  <c r="T18" i="44" s="1"/>
  <c r="T19" i="44"/>
  <c r="T20" i="44" s="1"/>
  <c r="T21" i="44" s="1"/>
  <c r="T22" i="44" s="1"/>
  <c r="T23" i="44" s="1"/>
  <c r="T24" i="44" s="1"/>
  <c r="T25" i="44" s="1"/>
  <c r="T26" i="44" s="1"/>
  <c r="T27" i="44" s="1"/>
  <c r="S17" i="44"/>
  <c r="S18" i="44" s="1"/>
  <c r="S19" i="44" s="1"/>
  <c r="S20" i="44"/>
  <c r="S21" i="44" s="1"/>
  <c r="S22" i="44" s="1"/>
  <c r="S23" i="44" s="1"/>
  <c r="S24" i="44" s="1"/>
  <c r="S25" i="44" s="1"/>
  <c r="S26" i="44" s="1"/>
  <c r="S27" i="44" s="1"/>
  <c r="R17" i="44"/>
  <c r="R18" i="44" s="1"/>
  <c r="R19" i="44" s="1"/>
  <c r="R20" i="44" s="1"/>
  <c r="R21" i="44" s="1"/>
  <c r="R22" i="44" s="1"/>
  <c r="R23" i="44" s="1"/>
  <c r="R24" i="44" s="1"/>
  <c r="R25" i="44" s="1"/>
  <c r="R26" i="44" s="1"/>
  <c r="R27" i="44" s="1"/>
  <c r="Q17" i="44"/>
  <c r="Q18" i="44"/>
  <c r="Q19" i="44" s="1"/>
  <c r="Q20" i="44" s="1"/>
  <c r="Q21" i="44" s="1"/>
  <c r="Q22" i="44" s="1"/>
  <c r="Q23" i="44" s="1"/>
  <c r="Q24" i="44" s="1"/>
  <c r="Q25" i="44" s="1"/>
  <c r="Q26" i="44" s="1"/>
  <c r="Q27" i="44" s="1"/>
  <c r="P17" i="44"/>
  <c r="P18" i="44" s="1"/>
  <c r="P19" i="44"/>
  <c r="P20" i="44" s="1"/>
  <c r="P21" i="44" s="1"/>
  <c r="P22" i="44" s="1"/>
  <c r="P23" i="44" s="1"/>
  <c r="P24" i="44" s="1"/>
  <c r="P25" i="44" s="1"/>
  <c r="P26" i="44" s="1"/>
  <c r="P27" i="44" s="1"/>
  <c r="O17" i="44"/>
  <c r="O18" i="44" s="1"/>
  <c r="O19" i="44" s="1"/>
  <c r="O20" i="44"/>
  <c r="O21" i="44" s="1"/>
  <c r="O22" i="44" s="1"/>
  <c r="O23" i="44" s="1"/>
  <c r="O24" i="44" s="1"/>
  <c r="O25" i="44" s="1"/>
  <c r="O26" i="44" s="1"/>
  <c r="O27" i="44" s="1"/>
  <c r="N17" i="44"/>
  <c r="N18" i="44" s="1"/>
  <c r="N19" i="44" s="1"/>
  <c r="N20" i="44" s="1"/>
  <c r="N21" i="44" s="1"/>
  <c r="N22" i="44" s="1"/>
  <c r="N23" i="44" s="1"/>
  <c r="N24" i="44" s="1"/>
  <c r="N25" i="44"/>
  <c r="N26" i="44" s="1"/>
  <c r="N27" i="44" s="1"/>
  <c r="Y16" i="44"/>
  <c r="X16" i="44"/>
  <c r="W16" i="44"/>
  <c r="V16" i="44"/>
  <c r="U16" i="44"/>
  <c r="T16" i="44"/>
  <c r="S16" i="44"/>
  <c r="R16" i="44"/>
  <c r="Q16" i="44"/>
  <c r="P16" i="44"/>
  <c r="O16" i="44"/>
  <c r="N16" i="44"/>
  <c r="Y17" i="74"/>
  <c r="Y18" i="74"/>
  <c r="Y19" i="74" s="1"/>
  <c r="Y20" i="74" s="1"/>
  <c r="Y21" i="74" s="1"/>
  <c r="Y22" i="74" s="1"/>
  <c r="Y23" i="74" s="1"/>
  <c r="Y24" i="74" s="1"/>
  <c r="Y25" i="74" s="1"/>
  <c r="Y26" i="74" s="1"/>
  <c r="Y27" i="74" s="1"/>
  <c r="X17" i="74"/>
  <c r="X18" i="74" s="1"/>
  <c r="X19" i="74"/>
  <c r="X20" i="74" s="1"/>
  <c r="X21" i="74" s="1"/>
  <c r="X22" i="74" s="1"/>
  <c r="X23" i="74" s="1"/>
  <c r="X24" i="74" s="1"/>
  <c r="X25" i="74" s="1"/>
  <c r="X26" i="74" s="1"/>
  <c r="X27" i="74" s="1"/>
  <c r="W17" i="74"/>
  <c r="W18" i="74" s="1"/>
  <c r="W19" i="74" s="1"/>
  <c r="W20" i="74"/>
  <c r="W21" i="74" s="1"/>
  <c r="W22" i="74" s="1"/>
  <c r="W23" i="74" s="1"/>
  <c r="W24" i="74" s="1"/>
  <c r="W25" i="74" s="1"/>
  <c r="W26" i="74" s="1"/>
  <c r="W27" i="74" s="1"/>
  <c r="V17" i="74"/>
  <c r="V18" i="74" s="1"/>
  <c r="V19" i="74" s="1"/>
  <c r="V20" i="74" s="1"/>
  <c r="V21" i="74" s="1"/>
  <c r="V22" i="74" s="1"/>
  <c r="V23" i="74" s="1"/>
  <c r="V24" i="74" s="1"/>
  <c r="V25" i="74" s="1"/>
  <c r="V26" i="74" s="1"/>
  <c r="V27" i="74" s="1"/>
  <c r="U17" i="74"/>
  <c r="U18" i="74"/>
  <c r="U19" i="74" s="1"/>
  <c r="U20" i="74" s="1"/>
  <c r="U21" i="74" s="1"/>
  <c r="U22" i="74" s="1"/>
  <c r="U23" i="74" s="1"/>
  <c r="U24" i="74" s="1"/>
  <c r="U25" i="74" s="1"/>
  <c r="U26" i="74" s="1"/>
  <c r="U27" i="74" s="1"/>
  <c r="T17" i="74"/>
  <c r="T18" i="74" s="1"/>
  <c r="T19" i="74"/>
  <c r="T20" i="74" s="1"/>
  <c r="T21" i="74" s="1"/>
  <c r="T22" i="74" s="1"/>
  <c r="T23" i="74" s="1"/>
  <c r="T24" i="74" s="1"/>
  <c r="T25" i="74" s="1"/>
  <c r="T26" i="74" s="1"/>
  <c r="T27" i="74" s="1"/>
  <c r="S17" i="74"/>
  <c r="S18" i="74" s="1"/>
  <c r="S19" i="74" s="1"/>
  <c r="S20" i="74"/>
  <c r="S21" i="74" s="1"/>
  <c r="S22" i="74" s="1"/>
  <c r="S23" i="74" s="1"/>
  <c r="S24" i="74" s="1"/>
  <c r="S25" i="74" s="1"/>
  <c r="S26" i="74" s="1"/>
  <c r="S27" i="74" s="1"/>
  <c r="R17" i="74"/>
  <c r="R18" i="74" s="1"/>
  <c r="R19" i="74" s="1"/>
  <c r="R20" i="74" s="1"/>
  <c r="R21" i="74" s="1"/>
  <c r="R22" i="74" s="1"/>
  <c r="R23" i="74" s="1"/>
  <c r="R24" i="74" s="1"/>
  <c r="R25" i="74" s="1"/>
  <c r="R26" i="74" s="1"/>
  <c r="R27" i="74" s="1"/>
  <c r="Q17" i="74"/>
  <c r="Q18" i="74"/>
  <c r="Q19" i="74" s="1"/>
  <c r="Q20" i="74" s="1"/>
  <c r="Q21" i="74" s="1"/>
  <c r="Q22" i="74" s="1"/>
  <c r="Q23" i="74" s="1"/>
  <c r="Q24" i="74" s="1"/>
  <c r="Q25" i="74" s="1"/>
  <c r="Q26" i="74"/>
  <c r="Q27" i="74" s="1"/>
  <c r="P17" i="74"/>
  <c r="P18" i="74" s="1"/>
  <c r="P19" i="74"/>
  <c r="P20" i="74" s="1"/>
  <c r="P21" i="74" s="1"/>
  <c r="P22" i="74" s="1"/>
  <c r="P23" i="74" s="1"/>
  <c r="P24" i="74" s="1"/>
  <c r="P25" i="74" s="1"/>
  <c r="P26" i="74" s="1"/>
  <c r="P27" i="74" s="1"/>
  <c r="O17" i="74"/>
  <c r="O18" i="74" s="1"/>
  <c r="O19" i="74" s="1"/>
  <c r="O20" i="74"/>
  <c r="O21" i="74" s="1"/>
  <c r="O22" i="74" s="1"/>
  <c r="O23" i="74" s="1"/>
  <c r="O24" i="74" s="1"/>
  <c r="O25" i="74" s="1"/>
  <c r="O26" i="74" s="1"/>
  <c r="O27" i="74" s="1"/>
  <c r="N17" i="74"/>
  <c r="N18" i="74" s="1"/>
  <c r="N19" i="74" s="1"/>
  <c r="N20" i="74" s="1"/>
  <c r="N21" i="74" s="1"/>
  <c r="N22" i="74" s="1"/>
  <c r="N23" i="74" s="1"/>
  <c r="N24" i="74" s="1"/>
  <c r="N25" i="74" s="1"/>
  <c r="N26" i="74" s="1"/>
  <c r="N27" i="74" s="1"/>
  <c r="Y16" i="74"/>
  <c r="X16" i="74"/>
  <c r="W16" i="74"/>
  <c r="V16" i="74"/>
  <c r="U16" i="74"/>
  <c r="T16" i="74"/>
  <c r="S16" i="74"/>
  <c r="R16" i="74"/>
  <c r="Q16" i="74"/>
  <c r="P16" i="74"/>
  <c r="O16" i="74"/>
  <c r="N16" i="74"/>
  <c r="Y17" i="8"/>
  <c r="Y18" i="8"/>
  <c r="Y19" i="8" s="1"/>
  <c r="Y20" i="8" s="1"/>
  <c r="Y21" i="8" s="1"/>
  <c r="Y22" i="8" s="1"/>
  <c r="Y23" i="8" s="1"/>
  <c r="Y24" i="8" s="1"/>
  <c r="Y25" i="8" s="1"/>
  <c r="Y26" i="8" s="1"/>
  <c r="Y27" i="8" s="1"/>
  <c r="X17" i="8"/>
  <c r="X18" i="8" s="1"/>
  <c r="X19" i="8"/>
  <c r="X20" i="8" s="1"/>
  <c r="X21" i="8" s="1"/>
  <c r="X22" i="8" s="1"/>
  <c r="X23" i="8" s="1"/>
  <c r="X24" i="8" s="1"/>
  <c r="X25" i="8" s="1"/>
  <c r="X26" i="8" s="1"/>
  <c r="X27" i="8" s="1"/>
  <c r="W17" i="8"/>
  <c r="W18" i="8" s="1"/>
  <c r="W19" i="8" s="1"/>
  <c r="W20" i="8"/>
  <c r="W21" i="8" s="1"/>
  <c r="W22" i="8" s="1"/>
  <c r="W23" i="8" s="1"/>
  <c r="W24" i="8" s="1"/>
  <c r="W25" i="8" s="1"/>
  <c r="W26" i="8" s="1"/>
  <c r="W27" i="8" s="1"/>
  <c r="V17" i="8"/>
  <c r="V18" i="8" s="1"/>
  <c r="V19" i="8" s="1"/>
  <c r="V20" i="8" s="1"/>
  <c r="V21" i="8" s="1"/>
  <c r="V22" i="8" s="1"/>
  <c r="V23" i="8" s="1"/>
  <c r="V24" i="8" s="1"/>
  <c r="V25" i="8" s="1"/>
  <c r="V26" i="8" s="1"/>
  <c r="V27" i="8" s="1"/>
  <c r="U17" i="8"/>
  <c r="U18" i="8"/>
  <c r="U19" i="8" s="1"/>
  <c r="U20" i="8" s="1"/>
  <c r="U21" i="8" s="1"/>
  <c r="U22" i="8" s="1"/>
  <c r="U23" i="8" s="1"/>
  <c r="U24" i="8" s="1"/>
  <c r="U25" i="8" s="1"/>
  <c r="U26" i="8" s="1"/>
  <c r="U27" i="8" s="1"/>
  <c r="T17" i="8"/>
  <c r="T18" i="8" s="1"/>
  <c r="T19" i="8"/>
  <c r="T20" i="8" s="1"/>
  <c r="T21" i="8" s="1"/>
  <c r="T22" i="8" s="1"/>
  <c r="T23" i="8" s="1"/>
  <c r="T24" i="8" s="1"/>
  <c r="T25" i="8" s="1"/>
  <c r="T26" i="8" s="1"/>
  <c r="T27" i="8"/>
  <c r="S17" i="8"/>
  <c r="S18" i="8" s="1"/>
  <c r="S19" i="8" s="1"/>
  <c r="S20" i="8"/>
  <c r="S21" i="8" s="1"/>
  <c r="S22" i="8" s="1"/>
  <c r="S23" i="8" s="1"/>
  <c r="S24" i="8" s="1"/>
  <c r="S25" i="8" s="1"/>
  <c r="S26" i="8" s="1"/>
  <c r="S27" i="8" s="1"/>
  <c r="R17" i="8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Q17" i="8"/>
  <c r="Q18" i="8"/>
  <c r="Q19" i="8" s="1"/>
  <c r="Q20" i="8" s="1"/>
  <c r="Q21" i="8" s="1"/>
  <c r="Q22" i="8" s="1"/>
  <c r="Q23" i="8" s="1"/>
  <c r="Q24" i="8" s="1"/>
  <c r="Q25" i="8" s="1"/>
  <c r="Q26" i="8" s="1"/>
  <c r="Q27" i="8" s="1"/>
  <c r="P17" i="8"/>
  <c r="P18" i="8" s="1"/>
  <c r="P19" i="8"/>
  <c r="P20" i="8" s="1"/>
  <c r="P21" i="8" s="1"/>
  <c r="P22" i="8" s="1"/>
  <c r="P23" i="8" s="1"/>
  <c r="P24" i="8" s="1"/>
  <c r="P25" i="8" s="1"/>
  <c r="P26" i="8" s="1"/>
  <c r="P27" i="8" s="1"/>
  <c r="O17" i="8"/>
  <c r="O18" i="8" s="1"/>
  <c r="O19" i="8" s="1"/>
  <c r="O20" i="8"/>
  <c r="O21" i="8" s="1"/>
  <c r="O22" i="8" s="1"/>
  <c r="O23" i="8" s="1"/>
  <c r="O24" i="8" s="1"/>
  <c r="O25" i="8" s="1"/>
  <c r="O26" i="8" s="1"/>
  <c r="O27" i="8" s="1"/>
  <c r="N21" i="8"/>
  <c r="N22" i="8" s="1"/>
  <c r="N23" i="8" s="1"/>
  <c r="N24" i="8" s="1"/>
  <c r="N25" i="8" s="1"/>
  <c r="N26" i="8" s="1"/>
  <c r="N27" i="8" s="1"/>
  <c r="Y16" i="8"/>
  <c r="X16" i="8"/>
  <c r="W16" i="8"/>
  <c r="V16" i="8"/>
  <c r="U16" i="8"/>
  <c r="T16" i="8"/>
  <c r="S16" i="8"/>
  <c r="R16" i="8"/>
  <c r="Q16" i="8"/>
  <c r="P16" i="8"/>
  <c r="O16" i="8"/>
  <c r="N16" i="8"/>
  <c r="Y17" i="3"/>
  <c r="Y18" i="3"/>
  <c r="Y19" i="3" s="1"/>
  <c r="Y20" i="3" s="1"/>
  <c r="Y21" i="3" s="1"/>
  <c r="Y22" i="3"/>
  <c r="Y23" i="3" s="1"/>
  <c r="Y24" i="3" s="1"/>
  <c r="Y25" i="3" s="1"/>
  <c r="Y26" i="3" s="1"/>
  <c r="Y27" i="3" s="1"/>
  <c r="X17" i="3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W17" i="3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V17" i="3"/>
  <c r="V18" i="3" s="1"/>
  <c r="V19" i="3" s="1"/>
  <c r="V20" i="3" s="1"/>
  <c r="V21" i="3"/>
  <c r="V22" i="3" s="1"/>
  <c r="V23" i="3" s="1"/>
  <c r="V24" i="3" s="1"/>
  <c r="V25" i="3" s="1"/>
  <c r="V26" i="3" s="1"/>
  <c r="V27" i="3" s="1"/>
  <c r="U17" i="3"/>
  <c r="U18" i="3"/>
  <c r="U19" i="3" s="1"/>
  <c r="U20" i="3" s="1"/>
  <c r="U21" i="3" s="1"/>
  <c r="U22" i="3"/>
  <c r="U23" i="3" s="1"/>
  <c r="U24" i="3" s="1"/>
  <c r="U25" i="3" s="1"/>
  <c r="U26" i="3" s="1"/>
  <c r="U27" i="3" s="1"/>
  <c r="T17" i="3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S17" i="3"/>
  <c r="S18" i="3" s="1"/>
  <c r="S19" i="3" s="1"/>
  <c r="S20" i="3" s="1"/>
  <c r="S21" i="3" s="1"/>
  <c r="S22" i="3" s="1"/>
  <c r="S23" i="3" s="1"/>
  <c r="S24" i="3"/>
  <c r="S25" i="3" s="1"/>
  <c r="S26" i="3" s="1"/>
  <c r="S27" i="3" s="1"/>
  <c r="R20" i="3"/>
  <c r="R21" i="3" s="1"/>
  <c r="R22" i="3" s="1"/>
  <c r="R23" i="3" s="1"/>
  <c r="R24" i="3"/>
  <c r="R25" i="3" s="1"/>
  <c r="R26" i="3" s="1"/>
  <c r="R27" i="3" s="1"/>
  <c r="Q17" i="3"/>
  <c r="Q18" i="3" s="1"/>
  <c r="Q19" i="3" s="1"/>
  <c r="Q20" i="3" s="1"/>
  <c r="Q21" i="3"/>
  <c r="Q22" i="3" s="1"/>
  <c r="Q23" i="3" s="1"/>
  <c r="Q24" i="3" s="1"/>
  <c r="Q25" i="3" s="1"/>
  <c r="Q26" i="3" s="1"/>
  <c r="Q27" i="3" s="1"/>
  <c r="P17" i="3"/>
  <c r="P18" i="3"/>
  <c r="P19" i="3" s="1"/>
  <c r="P20" i="3" s="1"/>
  <c r="P21" i="3" s="1"/>
  <c r="P22" i="3"/>
  <c r="P23" i="3" s="1"/>
  <c r="P24" i="3" s="1"/>
  <c r="P25" i="3" s="1"/>
  <c r="P26" i="3" s="1"/>
  <c r="P27" i="3" s="1"/>
  <c r="O17" i="3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N17" i="3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Y16" i="3"/>
  <c r="X16" i="3"/>
  <c r="W16" i="3"/>
  <c r="V16" i="3"/>
  <c r="U16" i="3"/>
  <c r="T16" i="3"/>
  <c r="S16" i="3"/>
  <c r="R16" i="3"/>
  <c r="Q16" i="3"/>
  <c r="P16" i="3"/>
  <c r="O16" i="3"/>
  <c r="N16" i="3"/>
  <c r="Y17" i="66"/>
  <c r="Y18" i="66" s="1"/>
  <c r="Y19" i="66" s="1"/>
  <c r="Y20" i="66" s="1"/>
  <c r="Y21" i="66"/>
  <c r="Y22" i="66" s="1"/>
  <c r="Y23" i="66" s="1"/>
  <c r="Y24" i="66" s="1"/>
  <c r="Y25" i="66" s="1"/>
  <c r="Y26" i="66" s="1"/>
  <c r="Y27" i="66" s="1"/>
  <c r="X17" i="66"/>
  <c r="X18" i="66"/>
  <c r="X19" i="66" s="1"/>
  <c r="X20" i="66" s="1"/>
  <c r="X21" i="66" s="1"/>
  <c r="X22" i="66"/>
  <c r="X23" i="66" s="1"/>
  <c r="X24" i="66" s="1"/>
  <c r="X25" i="66" s="1"/>
  <c r="X26" i="66" s="1"/>
  <c r="X27" i="66" s="1"/>
  <c r="W17" i="66"/>
  <c r="W18" i="66" s="1"/>
  <c r="W19" i="66" s="1"/>
  <c r="W20" i="66" s="1"/>
  <c r="W21" i="66" s="1"/>
  <c r="W22" i="66" s="1"/>
  <c r="W23" i="66" s="1"/>
  <c r="W24" i="66" s="1"/>
  <c r="W25" i="66" s="1"/>
  <c r="W26" i="66" s="1"/>
  <c r="W27" i="66" s="1"/>
  <c r="V17" i="66"/>
  <c r="V18" i="66" s="1"/>
  <c r="V19" i="66" s="1"/>
  <c r="V20" i="66" s="1"/>
  <c r="V21" i="66" s="1"/>
  <c r="V22" i="66" s="1"/>
  <c r="V23" i="66" s="1"/>
  <c r="V24" i="66" s="1"/>
  <c r="V25" i="66" s="1"/>
  <c r="V26" i="66" s="1"/>
  <c r="V27" i="66" s="1"/>
  <c r="U17" i="66"/>
  <c r="U18" i="66" s="1"/>
  <c r="U19" i="66" s="1"/>
  <c r="U20" i="66" s="1"/>
  <c r="U21" i="66"/>
  <c r="U22" i="66" s="1"/>
  <c r="U23" i="66" s="1"/>
  <c r="U24" i="66" s="1"/>
  <c r="U25" i="66" s="1"/>
  <c r="U26" i="66" s="1"/>
  <c r="U27" i="66" s="1"/>
  <c r="T17" i="66"/>
  <c r="T18" i="66"/>
  <c r="T19" i="66" s="1"/>
  <c r="T20" i="66" s="1"/>
  <c r="T21" i="66" s="1"/>
  <c r="T22" i="66"/>
  <c r="T23" i="66" s="1"/>
  <c r="T24" i="66" s="1"/>
  <c r="T25" i="66" s="1"/>
  <c r="T26" i="66" s="1"/>
  <c r="T27" i="66" s="1"/>
  <c r="S17" i="66"/>
  <c r="S18" i="66" s="1"/>
  <c r="S19" i="66" s="1"/>
  <c r="S20" i="66" s="1"/>
  <c r="S21" i="66" s="1"/>
  <c r="S22" i="66" s="1"/>
  <c r="S23" i="66" s="1"/>
  <c r="S24" i="66" s="1"/>
  <c r="S25" i="66" s="1"/>
  <c r="S26" i="66" s="1"/>
  <c r="S27" i="66" s="1"/>
  <c r="R17" i="66"/>
  <c r="R18" i="66" s="1"/>
  <c r="R19" i="66" s="1"/>
  <c r="R20" i="66" s="1"/>
  <c r="R21" i="66" s="1"/>
  <c r="R22" i="66" s="1"/>
  <c r="R23" i="66" s="1"/>
  <c r="R24" i="66" s="1"/>
  <c r="R25" i="66" s="1"/>
  <c r="R26" i="66" s="1"/>
  <c r="R27" i="66" s="1"/>
  <c r="Q17" i="66"/>
  <c r="Q18" i="66" s="1"/>
  <c r="Q19" i="66" s="1"/>
  <c r="Q20" i="66" s="1"/>
  <c r="Q21" i="66"/>
  <c r="Q22" i="66" s="1"/>
  <c r="Q23" i="66" s="1"/>
  <c r="Q24" i="66" s="1"/>
  <c r="Q25" i="66" s="1"/>
  <c r="Q26" i="66" s="1"/>
  <c r="Q27" i="66" s="1"/>
  <c r="P17" i="66"/>
  <c r="P18" i="66"/>
  <c r="P19" i="66" s="1"/>
  <c r="P20" i="66" s="1"/>
  <c r="P21" i="66" s="1"/>
  <c r="P22" i="66"/>
  <c r="P23" i="66" s="1"/>
  <c r="P24" i="66" s="1"/>
  <c r="P25" i="66" s="1"/>
  <c r="P26" i="66" s="1"/>
  <c r="P27" i="66" s="1"/>
  <c r="O17" i="66"/>
  <c r="O18" i="66" s="1"/>
  <c r="O19" i="66" s="1"/>
  <c r="O20" i="66" s="1"/>
  <c r="O21" i="66" s="1"/>
  <c r="O22" i="66" s="1"/>
  <c r="O23" i="66" s="1"/>
  <c r="O24" i="66" s="1"/>
  <c r="O25" i="66" s="1"/>
  <c r="O26" i="66" s="1"/>
  <c r="O27" i="66" s="1"/>
  <c r="N21" i="66"/>
  <c r="N22" i="66" s="1"/>
  <c r="N23" i="66" s="1"/>
  <c r="N24" i="66" s="1"/>
  <c r="N25" i="66" s="1"/>
  <c r="N26" i="66" s="1"/>
  <c r="N27" i="66" s="1"/>
  <c r="Y16" i="66"/>
  <c r="X16" i="66"/>
  <c r="W16" i="66"/>
  <c r="V16" i="66"/>
  <c r="U16" i="66"/>
  <c r="T16" i="66"/>
  <c r="S16" i="66"/>
  <c r="R16" i="66"/>
  <c r="Q16" i="66"/>
  <c r="P16" i="66"/>
  <c r="O16" i="66"/>
  <c r="N16" i="66"/>
  <c r="Y17" i="63"/>
  <c r="Y18" i="63" s="1"/>
  <c r="Y19" i="63" s="1"/>
  <c r="Y20" i="63" s="1"/>
  <c r="Y21" i="63" s="1"/>
  <c r="Y22" i="63" s="1"/>
  <c r="Y23" i="63" s="1"/>
  <c r="Y24" i="63" s="1"/>
  <c r="Y25" i="63"/>
  <c r="Y26" i="63" s="1"/>
  <c r="Y27" i="63" s="1"/>
  <c r="X17" i="63"/>
  <c r="X18" i="63"/>
  <c r="X19" i="63" s="1"/>
  <c r="X20" i="63" s="1"/>
  <c r="X21" i="63" s="1"/>
  <c r="X22" i="63" s="1"/>
  <c r="X23" i="63" s="1"/>
  <c r="X24" i="63" s="1"/>
  <c r="X25" i="63" s="1"/>
  <c r="X26" i="63" s="1"/>
  <c r="X27" i="63" s="1"/>
  <c r="W17" i="63"/>
  <c r="W18" i="63" s="1"/>
  <c r="W19" i="63"/>
  <c r="W20" i="63" s="1"/>
  <c r="W21" i="63" s="1"/>
  <c r="W22" i="63" s="1"/>
  <c r="W23" i="63" s="1"/>
  <c r="W24" i="63" s="1"/>
  <c r="W25" i="63" s="1"/>
  <c r="W26" i="63" s="1"/>
  <c r="W27" i="63" s="1"/>
  <c r="V17" i="63"/>
  <c r="V18" i="63" s="1"/>
  <c r="V19" i="63" s="1"/>
  <c r="V20" i="63"/>
  <c r="V21" i="63" s="1"/>
  <c r="V22" i="63" s="1"/>
  <c r="V23" i="63" s="1"/>
  <c r="V24" i="63" s="1"/>
  <c r="V25" i="63" s="1"/>
  <c r="V26" i="63" s="1"/>
  <c r="V27" i="63" s="1"/>
  <c r="U17" i="63"/>
  <c r="U18" i="63" s="1"/>
  <c r="U19" i="63" s="1"/>
  <c r="U20" i="63" s="1"/>
  <c r="U21" i="63" s="1"/>
  <c r="U22" i="63" s="1"/>
  <c r="U23" i="63" s="1"/>
  <c r="U24" i="63" s="1"/>
  <c r="U25" i="63" s="1"/>
  <c r="U26" i="63" s="1"/>
  <c r="U27" i="63" s="1"/>
  <c r="T17" i="63"/>
  <c r="T18" i="63"/>
  <c r="T19" i="63" s="1"/>
  <c r="T20" i="63" s="1"/>
  <c r="T21" i="63" s="1"/>
  <c r="T22" i="63" s="1"/>
  <c r="T23" i="63" s="1"/>
  <c r="T24" i="63" s="1"/>
  <c r="T25" i="63" s="1"/>
  <c r="T26" i="63" s="1"/>
  <c r="T27" i="63" s="1"/>
  <c r="S17" i="63"/>
  <c r="S18" i="63" s="1"/>
  <c r="S19" i="63"/>
  <c r="S20" i="63" s="1"/>
  <c r="S21" i="63" s="1"/>
  <c r="S22" i="63" s="1"/>
  <c r="S23" i="63" s="1"/>
  <c r="S24" i="63" s="1"/>
  <c r="S25" i="63" s="1"/>
  <c r="S26" i="63" s="1"/>
  <c r="S27" i="63" s="1"/>
  <c r="R17" i="63"/>
  <c r="R18" i="63" s="1"/>
  <c r="R19" i="63" s="1"/>
  <c r="R20" i="63"/>
  <c r="R21" i="63" s="1"/>
  <c r="R22" i="63" s="1"/>
  <c r="R23" i="63" s="1"/>
  <c r="R24" i="63" s="1"/>
  <c r="R25" i="63" s="1"/>
  <c r="R26" i="63" s="1"/>
  <c r="R27" i="63" s="1"/>
  <c r="Q17" i="63"/>
  <c r="Q18" i="63" s="1"/>
  <c r="Q19" i="63" s="1"/>
  <c r="Q20" i="63" s="1"/>
  <c r="Q21" i="63" s="1"/>
  <c r="Q22" i="63" s="1"/>
  <c r="Q23" i="63" s="1"/>
  <c r="Q24" i="63" s="1"/>
  <c r="Q25" i="63" s="1"/>
  <c r="Q26" i="63" s="1"/>
  <c r="Q27" i="63" s="1"/>
  <c r="P17" i="63"/>
  <c r="P18" i="63"/>
  <c r="P19" i="63" s="1"/>
  <c r="P20" i="63" s="1"/>
  <c r="P21" i="63" s="1"/>
  <c r="P22" i="63" s="1"/>
  <c r="P23" i="63" s="1"/>
  <c r="P24" i="63" s="1"/>
  <c r="P25" i="63" s="1"/>
  <c r="P26" i="63"/>
  <c r="P27" i="63" s="1"/>
  <c r="O17" i="63"/>
  <c r="O18" i="63" s="1"/>
  <c r="O19" i="63"/>
  <c r="O20" i="63" s="1"/>
  <c r="O21" i="63" s="1"/>
  <c r="O22" i="63" s="1"/>
  <c r="O23" i="63" s="1"/>
  <c r="O24" i="63" s="1"/>
  <c r="O25" i="63" s="1"/>
  <c r="O26" i="63" s="1"/>
  <c r="O27" i="63" s="1"/>
  <c r="N17" i="63"/>
  <c r="N18" i="63" s="1"/>
  <c r="N19" i="63" s="1"/>
  <c r="N20" i="63"/>
  <c r="N21" i="63" s="1"/>
  <c r="N22" i="63" s="1"/>
  <c r="N23" i="63" s="1"/>
  <c r="N24" i="63" s="1"/>
  <c r="N25" i="63" s="1"/>
  <c r="N26" i="63" s="1"/>
  <c r="N27" i="63" s="1"/>
  <c r="Y16" i="63"/>
  <c r="X16" i="63"/>
  <c r="W16" i="63"/>
  <c r="V16" i="63"/>
  <c r="U16" i="63"/>
  <c r="T16" i="63"/>
  <c r="S16" i="63"/>
  <c r="R16" i="63"/>
  <c r="Q16" i="63"/>
  <c r="P16" i="63"/>
  <c r="O16" i="63"/>
  <c r="N16" i="63"/>
  <c r="Y17" i="62"/>
  <c r="Y18" i="62" s="1"/>
  <c r="Y19" i="62" s="1"/>
  <c r="Y20" i="62" s="1"/>
  <c r="Y21" i="62" s="1"/>
  <c r="Y22" i="62" s="1"/>
  <c r="Y23" i="62" s="1"/>
  <c r="Y24" i="62" s="1"/>
  <c r="Y25" i="62" s="1"/>
  <c r="Y26" i="62" s="1"/>
  <c r="Y27" i="62" s="1"/>
  <c r="X17" i="62"/>
  <c r="X18" i="62"/>
  <c r="X19" i="62" s="1"/>
  <c r="X20" i="62" s="1"/>
  <c r="X21" i="62" s="1"/>
  <c r="X22" i="62" s="1"/>
  <c r="X23" i="62" s="1"/>
  <c r="X24" i="62" s="1"/>
  <c r="X25" i="62" s="1"/>
  <c r="X26" i="62" s="1"/>
  <c r="X27" i="62" s="1"/>
  <c r="W17" i="62"/>
  <c r="W18" i="62" s="1"/>
  <c r="W19" i="62"/>
  <c r="W20" i="62" s="1"/>
  <c r="W21" i="62" s="1"/>
  <c r="W22" i="62" s="1"/>
  <c r="W23" i="62" s="1"/>
  <c r="W24" i="62" s="1"/>
  <c r="W25" i="62" s="1"/>
  <c r="W26" i="62" s="1"/>
  <c r="W27" i="62" s="1"/>
  <c r="V17" i="62"/>
  <c r="V18" i="62" s="1"/>
  <c r="V19" i="62" s="1"/>
  <c r="V20" i="62"/>
  <c r="V21" i="62" s="1"/>
  <c r="V22" i="62" s="1"/>
  <c r="V23" i="62" s="1"/>
  <c r="V24" i="62" s="1"/>
  <c r="V25" i="62" s="1"/>
  <c r="V26" i="62" s="1"/>
  <c r="V27" i="62" s="1"/>
  <c r="U17" i="62"/>
  <c r="U18" i="62" s="1"/>
  <c r="U19" i="62" s="1"/>
  <c r="U20" i="62" s="1"/>
  <c r="U21" i="62" s="1"/>
  <c r="U22" i="62" s="1"/>
  <c r="U23" i="62" s="1"/>
  <c r="U24" i="62" s="1"/>
  <c r="U25" i="62" s="1"/>
  <c r="U26" i="62" s="1"/>
  <c r="U27" i="62" s="1"/>
  <c r="T17" i="62"/>
  <c r="T18" i="62"/>
  <c r="T19" i="62" s="1"/>
  <c r="T20" i="62" s="1"/>
  <c r="T21" i="62" s="1"/>
  <c r="T22" i="62" s="1"/>
  <c r="T23" i="62" s="1"/>
  <c r="T24" i="62" s="1"/>
  <c r="T25" i="62" s="1"/>
  <c r="T26" i="62" s="1"/>
  <c r="T27" i="62" s="1"/>
  <c r="S17" i="62"/>
  <c r="S18" i="62" s="1"/>
  <c r="S19" i="62"/>
  <c r="S20" i="62" s="1"/>
  <c r="S21" i="62" s="1"/>
  <c r="S22" i="62" s="1"/>
  <c r="S23" i="62" s="1"/>
  <c r="S24" i="62" s="1"/>
  <c r="S25" i="62" s="1"/>
  <c r="S26" i="62" s="1"/>
  <c r="S27" i="62"/>
  <c r="R17" i="62"/>
  <c r="R18" i="62" s="1"/>
  <c r="R19" i="62" s="1"/>
  <c r="R20" i="62"/>
  <c r="R21" i="62" s="1"/>
  <c r="R22" i="62" s="1"/>
  <c r="R23" i="62" s="1"/>
  <c r="R24" i="62" s="1"/>
  <c r="R25" i="62" s="1"/>
  <c r="R26" i="62" s="1"/>
  <c r="R27" i="62" s="1"/>
  <c r="Q17" i="62"/>
  <c r="Q18" i="62" s="1"/>
  <c r="Q19" i="62" s="1"/>
  <c r="Q20" i="62" s="1"/>
  <c r="Q21" i="62" s="1"/>
  <c r="Q22" i="62" s="1"/>
  <c r="Q23" i="62" s="1"/>
  <c r="Q24" i="62" s="1"/>
  <c r="Q25" i="62" s="1"/>
  <c r="Q26" i="62" s="1"/>
  <c r="Q27" i="62" s="1"/>
  <c r="P17" i="62"/>
  <c r="P18" i="62"/>
  <c r="P19" i="62" s="1"/>
  <c r="P20" i="62" s="1"/>
  <c r="P21" i="62" s="1"/>
  <c r="P22" i="62" s="1"/>
  <c r="P23" i="62" s="1"/>
  <c r="P24" i="62" s="1"/>
  <c r="P25" i="62" s="1"/>
  <c r="P26" i="62" s="1"/>
  <c r="P27" i="62" s="1"/>
  <c r="O17" i="62"/>
  <c r="O18" i="62" s="1"/>
  <c r="O19" i="62"/>
  <c r="O20" i="62" s="1"/>
  <c r="O21" i="62" s="1"/>
  <c r="O22" i="62" s="1"/>
  <c r="O23" i="62" s="1"/>
  <c r="O24" i="62" s="1"/>
  <c r="O25" i="62" s="1"/>
  <c r="O26" i="62" s="1"/>
  <c r="O27" i="62" s="1"/>
  <c r="N17" i="62"/>
  <c r="N18" i="62" s="1"/>
  <c r="N19" i="62" s="1"/>
  <c r="N20" i="62"/>
  <c r="N21" i="62" s="1"/>
  <c r="N22" i="62" s="1"/>
  <c r="N23" i="62" s="1"/>
  <c r="N24" i="62" s="1"/>
  <c r="N25" i="62" s="1"/>
  <c r="N26" i="62" s="1"/>
  <c r="N27" i="62" s="1"/>
  <c r="Y16" i="62"/>
  <c r="X16" i="62"/>
  <c r="W16" i="62"/>
  <c r="V16" i="62"/>
  <c r="U16" i="62"/>
  <c r="T16" i="62"/>
  <c r="S16" i="62"/>
  <c r="R16" i="62"/>
  <c r="Q16" i="62"/>
  <c r="P16" i="62"/>
  <c r="O16" i="62"/>
  <c r="N16" i="62"/>
  <c r="J16" i="68"/>
  <c r="U16" i="68"/>
  <c r="T16" i="68"/>
  <c r="S16" i="68"/>
  <c r="R16" i="68"/>
  <c r="Q16" i="68"/>
  <c r="P16" i="68"/>
  <c r="O16" i="68"/>
  <c r="N16" i="68"/>
  <c r="Y16" i="68"/>
  <c r="X16" i="68"/>
  <c r="W16" i="68"/>
  <c r="V16" i="68"/>
  <c r="Y17" i="68"/>
  <c r="Y18" i="68" s="1"/>
  <c r="Y19" i="68" s="1"/>
  <c r="Y20" i="68"/>
  <c r="Y21" i="68" s="1"/>
  <c r="Y22" i="68" s="1"/>
  <c r="Y23" i="68" s="1"/>
  <c r="Y24" i="68" s="1"/>
  <c r="Y25" i="68" s="1"/>
  <c r="Y26" i="68" s="1"/>
  <c r="Y27" i="68" s="1"/>
  <c r="X17" i="68"/>
  <c r="X18" i="68" s="1"/>
  <c r="X19" i="68" s="1"/>
  <c r="X20" i="68" s="1"/>
  <c r="X21" i="68" s="1"/>
  <c r="X22" i="68" s="1"/>
  <c r="X23" i="68" s="1"/>
  <c r="X24" i="68" s="1"/>
  <c r="X25" i="68" s="1"/>
  <c r="X26" i="68" s="1"/>
  <c r="X27" i="68" s="1"/>
  <c r="W17" i="68"/>
  <c r="W18" i="68"/>
  <c r="W19" i="68" s="1"/>
  <c r="W20" i="68" s="1"/>
  <c r="W21" i="68" s="1"/>
  <c r="W22" i="68" s="1"/>
  <c r="W23" i="68" s="1"/>
  <c r="W24" i="68" s="1"/>
  <c r="W25" i="68" s="1"/>
  <c r="W26" i="68" s="1"/>
  <c r="W27" i="68" s="1"/>
  <c r="V17" i="68"/>
  <c r="V18" i="68" s="1"/>
  <c r="V19" i="68"/>
  <c r="V20" i="68" s="1"/>
  <c r="V21" i="68" s="1"/>
  <c r="V22" i="68" s="1"/>
  <c r="V23" i="68" s="1"/>
  <c r="V24" i="68" s="1"/>
  <c r="V25" i="68" s="1"/>
  <c r="V26" i="68" s="1"/>
  <c r="V27" i="68"/>
  <c r="U17" i="68"/>
  <c r="U18" i="68" s="1"/>
  <c r="U19" i="68" s="1"/>
  <c r="U20" i="68"/>
  <c r="U21" i="68" s="1"/>
  <c r="U22" i="68" s="1"/>
  <c r="U23" i="68" s="1"/>
  <c r="U24" i="68" s="1"/>
  <c r="U25" i="68" s="1"/>
  <c r="U26" i="68" s="1"/>
  <c r="U27" i="68" s="1"/>
  <c r="T17" i="68"/>
  <c r="T18" i="68" s="1"/>
  <c r="T19" i="68" s="1"/>
  <c r="T20" i="68" s="1"/>
  <c r="T21" i="68" s="1"/>
  <c r="T22" i="68" s="1"/>
  <c r="T23" i="68" s="1"/>
  <c r="T24" i="68" s="1"/>
  <c r="T25" i="68" s="1"/>
  <c r="T26" i="68" s="1"/>
  <c r="T27" i="68" s="1"/>
  <c r="S17" i="68"/>
  <c r="S18" i="68"/>
  <c r="S19" i="68" s="1"/>
  <c r="S20" i="68" s="1"/>
  <c r="S21" i="68" s="1"/>
  <c r="S22" i="68" s="1"/>
  <c r="S23" i="68" s="1"/>
  <c r="S24" i="68" s="1"/>
  <c r="S25" i="68" s="1"/>
  <c r="S26" i="68" s="1"/>
  <c r="S27" i="68" s="1"/>
  <c r="R17" i="68"/>
  <c r="R18" i="68" s="1"/>
  <c r="R19" i="68"/>
  <c r="R20" i="68" s="1"/>
  <c r="R21" i="68" s="1"/>
  <c r="R22" i="68" s="1"/>
  <c r="R23" i="68" s="1"/>
  <c r="R24" i="68" s="1"/>
  <c r="R25" i="68" s="1"/>
  <c r="R26" i="68" s="1"/>
  <c r="R27" i="68" s="1"/>
  <c r="Q17" i="68"/>
  <c r="Q18" i="68" s="1"/>
  <c r="Q19" i="68" s="1"/>
  <c r="Q20" i="68"/>
  <c r="Q21" i="68" s="1"/>
  <c r="Q22" i="68" s="1"/>
  <c r="Q23" i="68" s="1"/>
  <c r="Q24" i="68" s="1"/>
  <c r="Q25" i="68" s="1"/>
  <c r="Q26" i="68" s="1"/>
  <c r="Q27" i="68" s="1"/>
  <c r="P17" i="68"/>
  <c r="P18" i="68" s="1"/>
  <c r="P19" i="68" s="1"/>
  <c r="P20" i="68" s="1"/>
  <c r="P21" i="68" s="1"/>
  <c r="P22" i="68" s="1"/>
  <c r="P23" i="68" s="1"/>
  <c r="P24" i="68" s="1"/>
  <c r="P25" i="68" s="1"/>
  <c r="P26" i="68" s="1"/>
  <c r="P27" i="68" s="1"/>
  <c r="O17" i="68"/>
  <c r="O18" i="68"/>
  <c r="O19" i="68" s="1"/>
  <c r="O20" i="68" s="1"/>
  <c r="O21" i="68" s="1"/>
  <c r="O22" i="68" s="1"/>
  <c r="O23" i="68" s="1"/>
  <c r="O24" i="68" s="1"/>
  <c r="O25" i="68" s="1"/>
  <c r="O26" i="68" s="1"/>
  <c r="O27" i="68" s="1"/>
  <c r="N17" i="68"/>
  <c r="N18" i="68" s="1"/>
  <c r="N19" i="68"/>
  <c r="N20" i="68" s="1"/>
  <c r="N21" i="68" s="1"/>
  <c r="N22" i="68" s="1"/>
  <c r="N23" i="68" s="1"/>
  <c r="N24" i="68" s="1"/>
  <c r="N25" i="68" s="1"/>
  <c r="N26" i="68" s="1"/>
  <c r="N27" i="68" s="1"/>
  <c r="U17" i="20"/>
  <c r="U18" i="20" s="1"/>
  <c r="U19" i="20" s="1"/>
  <c r="U20" i="20"/>
  <c r="U21" i="20" s="1"/>
  <c r="U22" i="20" s="1"/>
  <c r="U23" i="20" s="1"/>
  <c r="U24" i="20" s="1"/>
  <c r="U25" i="20" s="1"/>
  <c r="U26" i="20" s="1"/>
  <c r="U27" i="20" s="1"/>
  <c r="T17" i="20"/>
  <c r="T18" i="20" s="1"/>
  <c r="T19" i="20" s="1"/>
  <c r="T20" i="20" s="1"/>
  <c r="T21" i="20" s="1"/>
  <c r="T22" i="20" s="1"/>
  <c r="T23" i="20" s="1"/>
  <c r="T24" i="20" s="1"/>
  <c r="T25" i="20" s="1"/>
  <c r="T26" i="20" s="1"/>
  <c r="T27" i="20" s="1"/>
  <c r="S17" i="20"/>
  <c r="S18" i="20"/>
  <c r="S19" i="20" s="1"/>
  <c r="S20" i="20" s="1"/>
  <c r="S21" i="20" s="1"/>
  <c r="S22" i="20" s="1"/>
  <c r="S23" i="20" s="1"/>
  <c r="S24" i="20" s="1"/>
  <c r="S25" i="20" s="1"/>
  <c r="S26" i="20" s="1"/>
  <c r="S27" i="20" s="1"/>
  <c r="R20" i="20"/>
  <c r="R21" i="20" s="1"/>
  <c r="R22" i="20"/>
  <c r="R23" i="20" s="1"/>
  <c r="R24" i="20" s="1"/>
  <c r="R25" i="20" s="1"/>
  <c r="R26" i="20" s="1"/>
  <c r="R27" i="20" s="1"/>
  <c r="U16" i="20"/>
  <c r="T16" i="20"/>
  <c r="S16" i="20"/>
  <c r="R16" i="20"/>
  <c r="Q17" i="20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P17" i="20"/>
  <c r="P18" i="20" s="1"/>
  <c r="P19" i="20" s="1"/>
  <c r="P20" i="20" s="1"/>
  <c r="P21" i="20" s="1"/>
  <c r="P22" i="20" s="1"/>
  <c r="P23" i="20" s="1"/>
  <c r="P24" i="20"/>
  <c r="P25" i="20" s="1"/>
  <c r="P26" i="20" s="1"/>
  <c r="P27" i="20" s="1"/>
  <c r="O17" i="20"/>
  <c r="O18" i="20" s="1"/>
  <c r="O19" i="20" s="1"/>
  <c r="O20" i="20" s="1"/>
  <c r="O21" i="20"/>
  <c r="O22" i="20" s="1"/>
  <c r="O23" i="20" s="1"/>
  <c r="O24" i="20" s="1"/>
  <c r="O25" i="20" s="1"/>
  <c r="O26" i="20" s="1"/>
  <c r="O27" i="20" s="1"/>
  <c r="N17" i="20"/>
  <c r="N18" i="20"/>
  <c r="N19" i="20" s="1"/>
  <c r="N20" i="20" s="1"/>
  <c r="N21" i="20" s="1"/>
  <c r="N22" i="20" s="1"/>
  <c r="N23" i="20" s="1"/>
  <c r="N24" i="20" s="1"/>
  <c r="N25" i="20" s="1"/>
  <c r="N26" i="20" s="1"/>
  <c r="N27" i="20" s="1"/>
  <c r="Q16" i="20"/>
  <c r="P16" i="20"/>
  <c r="O16" i="20"/>
  <c r="N16" i="20"/>
  <c r="Y17" i="2"/>
  <c r="Y18" i="2" s="1"/>
  <c r="Y19" i="2" s="1"/>
  <c r="Y20" i="2" s="1"/>
  <c r="Y21" i="2" s="1"/>
  <c r="Y22" i="2" s="1"/>
  <c r="Y23" i="2" s="1"/>
  <c r="Y24" i="2"/>
  <c r="Y25" i="2" s="1"/>
  <c r="Y26" i="2" s="1"/>
  <c r="Y27" i="2" s="1"/>
  <c r="X17" i="2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W17" i="2"/>
  <c r="W18" i="2"/>
  <c r="W19" i="2" s="1"/>
  <c r="W20" i="2" s="1"/>
  <c r="W21" i="2" s="1"/>
  <c r="W22" i="2" s="1"/>
  <c r="W23" i="2" s="1"/>
  <c r="W24" i="2" s="1"/>
  <c r="W25" i="2" s="1"/>
  <c r="W26" i="2" s="1"/>
  <c r="W27" i="2" s="1"/>
  <c r="V17" i="2"/>
  <c r="V18" i="2"/>
  <c r="V19" i="2" s="1"/>
  <c r="V20" i="2" s="1"/>
  <c r="V21" i="2" s="1"/>
  <c r="V22" i="2"/>
  <c r="V23" i="2" s="1"/>
  <c r="V24" i="2" s="1"/>
  <c r="V25" i="2" s="1"/>
  <c r="V26" i="2" s="1"/>
  <c r="V27" i="2" s="1"/>
  <c r="Y16" i="2"/>
  <c r="X16" i="2"/>
  <c r="W16" i="2"/>
  <c r="V16" i="2"/>
  <c r="U17" i="2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T17" i="2"/>
  <c r="T18" i="2" s="1"/>
  <c r="T19" i="2" s="1"/>
  <c r="T20" i="2" s="1"/>
  <c r="T21" i="2"/>
  <c r="T22" i="2" s="1"/>
  <c r="T23" i="2" s="1"/>
  <c r="T24" i="2" s="1"/>
  <c r="T25" i="2" s="1"/>
  <c r="T26" i="2" s="1"/>
  <c r="T27" i="2" s="1"/>
  <c r="S17" i="2"/>
  <c r="S18" i="2"/>
  <c r="S19" i="2" s="1"/>
  <c r="S20" i="2" s="1"/>
  <c r="S21" i="2" s="1"/>
  <c r="S22" i="2" s="1"/>
  <c r="S23" i="2" s="1"/>
  <c r="S24" i="2" s="1"/>
  <c r="S25" i="2" s="1"/>
  <c r="S26" i="2" s="1"/>
  <c r="S27" i="2" s="1"/>
  <c r="R17" i="2"/>
  <c r="R18" i="2"/>
  <c r="R19" i="2" s="1"/>
  <c r="R20" i="2" s="1"/>
  <c r="R21" i="2" s="1"/>
  <c r="R22" i="2" s="1"/>
  <c r="R23" i="2" s="1"/>
  <c r="R24" i="2" s="1"/>
  <c r="R25" i="2" s="1"/>
  <c r="R26" i="2" s="1"/>
  <c r="R27" i="2" s="1"/>
  <c r="U16" i="2"/>
  <c r="T16" i="2"/>
  <c r="S16" i="2"/>
  <c r="R16" i="2"/>
  <c r="Q17" i="2"/>
  <c r="Q18" i="2" s="1"/>
  <c r="Q19" i="2" s="1"/>
  <c r="Q20" i="2" s="1"/>
  <c r="Q21" i="2" s="1"/>
  <c r="Q22" i="2" s="1"/>
  <c r="Q23" i="2" s="1"/>
  <c r="Q24" i="2"/>
  <c r="Q25" i="2" s="1"/>
  <c r="Q26" i="2" s="1"/>
  <c r="Q27" i="2" s="1"/>
  <c r="P17" i="2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O17" i="2"/>
  <c r="O18" i="2"/>
  <c r="O19" i="2" s="1"/>
  <c r="O20" i="2" s="1"/>
  <c r="O21" i="2" s="1"/>
  <c r="O22" i="2" s="1"/>
  <c r="O23" i="2" s="1"/>
  <c r="O24" i="2" s="1"/>
  <c r="O25" i="2" s="1"/>
  <c r="O26" i="2" s="1"/>
  <c r="O27" i="2" s="1"/>
  <c r="N17" i="2"/>
  <c r="N18" i="2"/>
  <c r="N19" i="2" s="1"/>
  <c r="N20" i="2" s="1"/>
  <c r="N21" i="2" s="1"/>
  <c r="N22" i="2"/>
  <c r="N23" i="2" s="1"/>
  <c r="N24" i="2" s="1"/>
  <c r="N25" i="2" s="1"/>
  <c r="N26" i="2" s="1"/>
  <c r="N27" i="2" s="1"/>
  <c r="Q16" i="2"/>
  <c r="P16" i="2"/>
  <c r="O16" i="2"/>
  <c r="N16" i="2"/>
  <c r="U17" i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T17" i="1"/>
  <c r="T18" i="1" s="1"/>
  <c r="T19" i="1" s="1"/>
  <c r="T20" i="1" s="1"/>
  <c r="T21" i="1"/>
  <c r="T22" i="1" s="1"/>
  <c r="T23" i="1" s="1"/>
  <c r="T24" i="1" s="1"/>
  <c r="T25" i="1" s="1"/>
  <c r="T26" i="1" s="1"/>
  <c r="T27" i="1" s="1"/>
  <c r="S17" i="1"/>
  <c r="S18" i="1"/>
  <c r="S19" i="1" s="1"/>
  <c r="S20" i="1" s="1"/>
  <c r="S21" i="1" s="1"/>
  <c r="S22" i="1" s="1"/>
  <c r="S23" i="1" s="1"/>
  <c r="S24" i="1" s="1"/>
  <c r="S25" i="1" s="1"/>
  <c r="S26" i="1" s="1"/>
  <c r="S27" i="1" s="1"/>
  <c r="R17" i="1"/>
  <c r="R18" i="1"/>
  <c r="R19" i="1" s="1"/>
  <c r="R20" i="1" s="1"/>
  <c r="R21" i="1" s="1"/>
  <c r="R22" i="1" s="1"/>
  <c r="R23" i="1" s="1"/>
  <c r="R24" i="1" s="1"/>
  <c r="R25" i="1" s="1"/>
  <c r="R26" i="1" s="1"/>
  <c r="R27" i="1" s="1"/>
  <c r="U16" i="1"/>
  <c r="T16" i="1"/>
  <c r="S16" i="1"/>
  <c r="R16" i="1"/>
  <c r="Q17" i="1"/>
  <c r="Q18" i="1" s="1"/>
  <c r="Q19" i="1" s="1"/>
  <c r="Q20" i="1" s="1"/>
  <c r="Q21" i="1" s="1"/>
  <c r="Q22" i="1" s="1"/>
  <c r="Q23" i="1" s="1"/>
  <c r="Q24" i="1"/>
  <c r="Q25" i="1" s="1"/>
  <c r="Q26" i="1" s="1"/>
  <c r="Q27" i="1" s="1"/>
  <c r="P17" i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O17" i="1"/>
  <c r="O18" i="1"/>
  <c r="O19" i="1" s="1"/>
  <c r="O20" i="1" s="1"/>
  <c r="O21" i="1" s="1"/>
  <c r="O22" i="1" s="1"/>
  <c r="O23" i="1" s="1"/>
  <c r="O24" i="1" s="1"/>
  <c r="O25" i="1" s="1"/>
  <c r="O26" i="1" s="1"/>
  <c r="O27" i="1" s="1"/>
  <c r="N17" i="1"/>
  <c r="N18" i="1"/>
  <c r="N19" i="1" s="1"/>
  <c r="N20" i="1" s="1"/>
  <c r="N21" i="1" s="1"/>
  <c r="N22" i="1"/>
  <c r="N23" i="1" s="1"/>
  <c r="N24" i="1" s="1"/>
  <c r="N25" i="1" s="1"/>
  <c r="N26" i="1" s="1"/>
  <c r="N27" i="1" s="1"/>
  <c r="Q16" i="1"/>
  <c r="P16" i="1"/>
  <c r="O16" i="1"/>
  <c r="N16" i="1"/>
  <c r="M17" i="1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L17" i="11"/>
  <c r="L18" i="11" s="1"/>
  <c r="L19" i="11" s="1"/>
  <c r="L20" i="11" s="1"/>
  <c r="L21" i="11"/>
  <c r="L22" i="11" s="1"/>
  <c r="L23" i="11" s="1"/>
  <c r="L24" i="11" s="1"/>
  <c r="L25" i="11" s="1"/>
  <c r="L26" i="11" s="1"/>
  <c r="L27" i="11" s="1"/>
  <c r="K17" i="11"/>
  <c r="K18" i="11"/>
  <c r="K19" i="11" s="1"/>
  <c r="K20" i="11" s="1"/>
  <c r="K21" i="11" s="1"/>
  <c r="K22" i="11" s="1"/>
  <c r="K23" i="11" s="1"/>
  <c r="K24" i="11" s="1"/>
  <c r="K25" i="11" s="1"/>
  <c r="K26" i="11" s="1"/>
  <c r="K27" i="11" s="1"/>
  <c r="J21" i="11"/>
  <c r="J22" i="11"/>
  <c r="J23" i="11" s="1"/>
  <c r="J24" i="11" s="1"/>
  <c r="J25" i="11" s="1"/>
  <c r="J26" i="11" s="1"/>
  <c r="J27" i="11" s="1"/>
  <c r="M16" i="11"/>
  <c r="L16" i="11"/>
  <c r="K16" i="11"/>
  <c r="J16" i="11"/>
  <c r="U17" i="79"/>
  <c r="U18" i="79" s="1"/>
  <c r="U19" i="79" s="1"/>
  <c r="U20" i="79"/>
  <c r="U21" i="79" s="1"/>
  <c r="U22" i="79" s="1"/>
  <c r="U23" i="79" s="1"/>
  <c r="U24" i="79" s="1"/>
  <c r="U25" i="79" s="1"/>
  <c r="U26" i="79" s="1"/>
  <c r="U27" i="79" s="1"/>
  <c r="T17" i="79"/>
  <c r="T18" i="79" s="1"/>
  <c r="T19" i="79" s="1"/>
  <c r="T20" i="79" s="1"/>
  <c r="T21" i="79" s="1"/>
  <c r="T22" i="79" s="1"/>
  <c r="T23" i="79" s="1"/>
  <c r="T24" i="79" s="1"/>
  <c r="T25" i="79" s="1"/>
  <c r="T26" i="79" s="1"/>
  <c r="T27" i="79" s="1"/>
  <c r="S17" i="79"/>
  <c r="S18" i="79"/>
  <c r="S19" i="79" s="1"/>
  <c r="S20" i="79" s="1"/>
  <c r="S21" i="79" s="1"/>
  <c r="S22" i="79" s="1"/>
  <c r="S23" i="79" s="1"/>
  <c r="S24" i="79" s="1"/>
  <c r="S25" i="79" s="1"/>
  <c r="S26" i="79" s="1"/>
  <c r="S27" i="79" s="1"/>
  <c r="R19" i="79"/>
  <c r="R20" i="79"/>
  <c r="R21" i="79" s="1"/>
  <c r="R22" i="79" s="1"/>
  <c r="R23" i="79" s="1"/>
  <c r="R24" i="79" s="1"/>
  <c r="R25" i="79" s="1"/>
  <c r="R26" i="79" s="1"/>
  <c r="R27" i="79" s="1"/>
  <c r="U16" i="79"/>
  <c r="T16" i="79"/>
  <c r="S16" i="79"/>
  <c r="R16" i="79"/>
  <c r="Q17" i="79"/>
  <c r="Q18" i="79" s="1"/>
  <c r="Q19" i="79" s="1"/>
  <c r="Q20" i="79" s="1"/>
  <c r="Q21" i="79" s="1"/>
  <c r="Q22" i="79" s="1"/>
  <c r="Q23" i="79" s="1"/>
  <c r="Q24" i="79" s="1"/>
  <c r="Q25" i="79" s="1"/>
  <c r="Q26" i="79" s="1"/>
  <c r="Q27" i="79" s="1"/>
  <c r="P17" i="79"/>
  <c r="P18" i="79"/>
  <c r="P19" i="79"/>
  <c r="P20" i="79" s="1"/>
  <c r="P21" i="79" s="1"/>
  <c r="P22" i="79" s="1"/>
  <c r="P23" i="79" s="1"/>
  <c r="P24" i="79" s="1"/>
  <c r="P25" i="79" s="1"/>
  <c r="P26" i="79" s="1"/>
  <c r="P27" i="79" s="1"/>
  <c r="O17" i="79"/>
  <c r="O18" i="79" s="1"/>
  <c r="O19" i="79"/>
  <c r="O20" i="79" s="1"/>
  <c r="O21" i="79" s="1"/>
  <c r="O22" i="79" s="1"/>
  <c r="O23" i="79"/>
  <c r="O24" i="79" s="1"/>
  <c r="O25" i="79" s="1"/>
  <c r="O26" i="79" s="1"/>
  <c r="O27" i="79" s="1"/>
  <c r="N17" i="79"/>
  <c r="N18" i="79" s="1"/>
  <c r="N19" i="79" s="1"/>
  <c r="N20" i="79"/>
  <c r="N21" i="79" s="1"/>
  <c r="N22" i="79" s="1"/>
  <c r="N23" i="79" s="1"/>
  <c r="N24" i="79" s="1"/>
  <c r="N25" i="79" s="1"/>
  <c r="N26" i="79" s="1"/>
  <c r="N27" i="79" s="1"/>
  <c r="Q16" i="79"/>
  <c r="P16" i="79"/>
  <c r="O16" i="79"/>
  <c r="N16" i="79"/>
  <c r="U17" i="72"/>
  <c r="U18" i="72" s="1"/>
  <c r="U19" i="72" s="1"/>
  <c r="U20" i="72" s="1"/>
  <c r="U21" i="72" s="1"/>
  <c r="U22" i="72" s="1"/>
  <c r="U23" i="72" s="1"/>
  <c r="U24" i="72" s="1"/>
  <c r="U25" i="72"/>
  <c r="U26" i="72" s="1"/>
  <c r="U27" i="72" s="1"/>
  <c r="T17" i="72"/>
  <c r="T18" i="72"/>
  <c r="T19" i="72"/>
  <c r="T20" i="72" s="1"/>
  <c r="T21" i="72" s="1"/>
  <c r="T22" i="72" s="1"/>
  <c r="T23" i="72" s="1"/>
  <c r="T24" i="72" s="1"/>
  <c r="T25" i="72" s="1"/>
  <c r="T26" i="72" s="1"/>
  <c r="T27" i="72"/>
  <c r="S17" i="72"/>
  <c r="S18" i="72" s="1"/>
  <c r="S19" i="72"/>
  <c r="S20" i="72" s="1"/>
  <c r="S21" i="72" s="1"/>
  <c r="S22" i="72" s="1"/>
  <c r="S23" i="72" s="1"/>
  <c r="S24" i="72" s="1"/>
  <c r="S25" i="72" s="1"/>
  <c r="S26" i="72" s="1"/>
  <c r="S27" i="72" s="1"/>
  <c r="R17" i="72"/>
  <c r="R18" i="72" s="1"/>
  <c r="R19" i="72" s="1"/>
  <c r="R20" i="72"/>
  <c r="R21" i="72" s="1"/>
  <c r="R22" i="72" s="1"/>
  <c r="R23" i="72" s="1"/>
  <c r="R24" i="72" s="1"/>
  <c r="R25" i="72" s="1"/>
  <c r="R26" i="72" s="1"/>
  <c r="R27" i="72" s="1"/>
  <c r="U16" i="72"/>
  <c r="T16" i="72"/>
  <c r="S16" i="72"/>
  <c r="R16" i="72"/>
  <c r="Q17" i="72"/>
  <c r="Q18" i="72" s="1"/>
  <c r="Q19" i="72" s="1"/>
  <c r="Q20" i="72" s="1"/>
  <c r="Q21" i="72" s="1"/>
  <c r="Q22" i="72" s="1"/>
  <c r="Q23" i="72" s="1"/>
  <c r="Q24" i="72" s="1"/>
  <c r="Q25" i="72" s="1"/>
  <c r="Q26" i="72" s="1"/>
  <c r="Q27" i="72" s="1"/>
  <c r="P17" i="72"/>
  <c r="P18" i="72"/>
  <c r="P19" i="72"/>
  <c r="P20" i="72" s="1"/>
  <c r="P21" i="72" s="1"/>
  <c r="P22" i="72" s="1"/>
  <c r="P23" i="72" s="1"/>
  <c r="P24" i="72" s="1"/>
  <c r="P25" i="72" s="1"/>
  <c r="P26" i="72" s="1"/>
  <c r="P27" i="72" s="1"/>
  <c r="O17" i="72"/>
  <c r="O18" i="72" s="1"/>
  <c r="O19" i="72"/>
  <c r="O20" i="72" s="1"/>
  <c r="O21" i="72" s="1"/>
  <c r="O22" i="72" s="1"/>
  <c r="O23" i="72" s="1"/>
  <c r="O24" i="72" s="1"/>
  <c r="O25" i="72" s="1"/>
  <c r="O26" i="72" s="1"/>
  <c r="O27" i="72" s="1"/>
  <c r="N21" i="72"/>
  <c r="N22" i="72" s="1"/>
  <c r="N23" i="72" s="1"/>
  <c r="N24" i="72"/>
  <c r="N25" i="72" s="1"/>
  <c r="N26" i="72" s="1"/>
  <c r="N27" i="72" s="1"/>
  <c r="Q16" i="72"/>
  <c r="P16" i="72"/>
  <c r="O16" i="72"/>
  <c r="N16" i="72"/>
  <c r="U17" i="71"/>
  <c r="U18" i="71" s="1"/>
  <c r="U19" i="71" s="1"/>
  <c r="U20" i="71" s="1"/>
  <c r="U21" i="71" s="1"/>
  <c r="U22" i="71" s="1"/>
  <c r="U23" i="71" s="1"/>
  <c r="U24" i="71" s="1"/>
  <c r="U25" i="71" s="1"/>
  <c r="U26" i="71" s="1"/>
  <c r="U27" i="71" s="1"/>
  <c r="T17" i="71"/>
  <c r="T18" i="71"/>
  <c r="T19" i="71"/>
  <c r="T20" i="71" s="1"/>
  <c r="T21" i="71" s="1"/>
  <c r="T22" i="71" s="1"/>
  <c r="T23" i="71" s="1"/>
  <c r="T24" i="71" s="1"/>
  <c r="T25" i="71" s="1"/>
  <c r="T26" i="71" s="1"/>
  <c r="T27" i="71" s="1"/>
  <c r="S17" i="71"/>
  <c r="S18" i="71" s="1"/>
  <c r="S19" i="71"/>
  <c r="S20" i="71" s="1"/>
  <c r="S21" i="71" s="1"/>
  <c r="S22" i="71" s="1"/>
  <c r="S23" i="71" s="1"/>
  <c r="S24" i="71" s="1"/>
  <c r="S25" i="71" s="1"/>
  <c r="S26" i="71" s="1"/>
  <c r="S27" i="71" s="1"/>
  <c r="R17" i="71"/>
  <c r="R18" i="71" s="1"/>
  <c r="R19" i="71" s="1"/>
  <c r="R20" i="71"/>
  <c r="R21" i="71" s="1"/>
  <c r="R22" i="71" s="1"/>
  <c r="R23" i="71" s="1"/>
  <c r="R24" i="71"/>
  <c r="R25" i="71" s="1"/>
  <c r="R26" i="71" s="1"/>
  <c r="R27" i="71" s="1"/>
  <c r="U16" i="71"/>
  <c r="T16" i="71"/>
  <c r="S16" i="71"/>
  <c r="R16" i="71"/>
  <c r="Q17" i="71"/>
  <c r="Q18" i="71" s="1"/>
  <c r="Q19" i="71" s="1"/>
  <c r="Q20" i="71" s="1"/>
  <c r="Q21" i="71" s="1"/>
  <c r="Q22" i="71" s="1"/>
  <c r="Q23" i="71" s="1"/>
  <c r="Q24" i="71" s="1"/>
  <c r="Q25" i="71" s="1"/>
  <c r="Q26" i="71" s="1"/>
  <c r="Q27" i="71" s="1"/>
  <c r="P17" i="71"/>
  <c r="P18" i="71"/>
  <c r="P19" i="71"/>
  <c r="P20" i="71" s="1"/>
  <c r="P21" i="71" s="1"/>
  <c r="P22" i="71" s="1"/>
  <c r="P23" i="71" s="1"/>
  <c r="P24" i="71" s="1"/>
  <c r="P25" i="71" s="1"/>
  <c r="P26" i="71" s="1"/>
  <c r="P27" i="71" s="1"/>
  <c r="O17" i="71"/>
  <c r="O18" i="71" s="1"/>
  <c r="O19" i="71"/>
  <c r="O20" i="71" s="1"/>
  <c r="O21" i="71" s="1"/>
  <c r="O22" i="71" s="1"/>
  <c r="O23" i="71" s="1"/>
  <c r="O24" i="71" s="1"/>
  <c r="O25" i="71" s="1"/>
  <c r="O26" i="71" s="1"/>
  <c r="O27" i="71" s="1"/>
  <c r="N17" i="71"/>
  <c r="N18" i="71" s="1"/>
  <c r="N19" i="71" s="1"/>
  <c r="N20" i="71"/>
  <c r="N21" i="71" s="1"/>
  <c r="N22" i="71" s="1"/>
  <c r="N23" i="71" s="1"/>
  <c r="N24" i="71"/>
  <c r="N25" i="71" s="1"/>
  <c r="N26" i="71" s="1"/>
  <c r="N27" i="71" s="1"/>
  <c r="Q16" i="71"/>
  <c r="P16" i="71"/>
  <c r="O16" i="71"/>
  <c r="N16" i="71"/>
  <c r="Q17" i="57"/>
  <c r="Q18" i="57" s="1"/>
  <c r="Q19" i="57" s="1"/>
  <c r="Q20" i="57" s="1"/>
  <c r="Q21" i="57" s="1"/>
  <c r="Q22" i="57" s="1"/>
  <c r="Q23" i="57" s="1"/>
  <c r="Q24" i="57" s="1"/>
  <c r="Q25" i="57" s="1"/>
  <c r="Q26" i="57" s="1"/>
  <c r="Q27" i="57" s="1"/>
  <c r="P17" i="57"/>
  <c r="P18" i="57"/>
  <c r="P19" i="57"/>
  <c r="P20" i="57" s="1"/>
  <c r="P21" i="57" s="1"/>
  <c r="P22" i="57" s="1"/>
  <c r="P23" i="57" s="1"/>
  <c r="P24" i="57" s="1"/>
  <c r="P25" i="57" s="1"/>
  <c r="P26" i="57" s="1"/>
  <c r="P27" i="57" s="1"/>
  <c r="O17" i="57"/>
  <c r="O18" i="57" s="1"/>
  <c r="O19" i="57"/>
  <c r="O20" i="57" s="1"/>
  <c r="O21" i="57" s="1"/>
  <c r="O22" i="57" s="1"/>
  <c r="O23" i="57" s="1"/>
  <c r="O24" i="57" s="1"/>
  <c r="O25" i="57" s="1"/>
  <c r="O26" i="57" s="1"/>
  <c r="O27" i="57" s="1"/>
  <c r="N17" i="57"/>
  <c r="N18" i="57" s="1"/>
  <c r="N19" i="57" s="1"/>
  <c r="N20" i="57"/>
  <c r="N21" i="57" s="1"/>
  <c r="N22" i="57" s="1"/>
  <c r="N23" i="57" s="1"/>
  <c r="N24" i="57"/>
  <c r="N25" i="57" s="1"/>
  <c r="N26" i="57" s="1"/>
  <c r="N27" i="57" s="1"/>
  <c r="Q16" i="57"/>
  <c r="P16" i="57"/>
  <c r="O16" i="57"/>
  <c r="N16" i="57"/>
  <c r="R4" i="12"/>
  <c r="U17" i="12"/>
  <c r="U18" i="12" s="1"/>
  <c r="U19" i="12" s="1"/>
  <c r="U20" i="12"/>
  <c r="U21" i="12" s="1"/>
  <c r="U22" i="12" s="1"/>
  <c r="U23" i="12" s="1"/>
  <c r="U24" i="12" s="1"/>
  <c r="U25" i="12" s="1"/>
  <c r="U26" i="12" s="1"/>
  <c r="U27" i="12" s="1"/>
  <c r="T17" i="12"/>
  <c r="T18" i="12" s="1"/>
  <c r="T19" i="12" s="1"/>
  <c r="T20" i="12" s="1"/>
  <c r="T21" i="12" s="1"/>
  <c r="T22" i="12" s="1"/>
  <c r="T23" i="12" s="1"/>
  <c r="T24" i="12" s="1"/>
  <c r="T25" i="12" s="1"/>
  <c r="T26" i="12" s="1"/>
  <c r="T27" i="12" s="1"/>
  <c r="S17" i="12"/>
  <c r="S18" i="12"/>
  <c r="S19" i="12"/>
  <c r="S20" i="12" s="1"/>
  <c r="S21" i="12" s="1"/>
  <c r="S22" i="12" s="1"/>
  <c r="S23" i="12" s="1"/>
  <c r="S24" i="12" s="1"/>
  <c r="S25" i="12" s="1"/>
  <c r="S26" i="12" s="1"/>
  <c r="S27" i="12" s="1"/>
  <c r="U16" i="12"/>
  <c r="T16" i="12"/>
  <c r="S16" i="12"/>
  <c r="N9" i="12"/>
  <c r="N9" i="30" s="1"/>
  <c r="N8" i="12"/>
  <c r="N8" i="30" s="1"/>
  <c r="N7" i="12"/>
  <c r="N7" i="30" s="1"/>
  <c r="N6" i="12"/>
  <c r="N6" i="30" s="1"/>
  <c r="N5" i="12"/>
  <c r="Q17" i="12"/>
  <c r="Q18" i="12" s="1"/>
  <c r="Q19" i="12"/>
  <c r="Q20" i="12" s="1"/>
  <c r="Q21" i="12" s="1"/>
  <c r="Q22" i="12" s="1"/>
  <c r="Q23" i="12" s="1"/>
  <c r="Q24" i="12" s="1"/>
  <c r="Q25" i="12" s="1"/>
  <c r="Q26" i="12" s="1"/>
  <c r="Q27" i="12" s="1"/>
  <c r="P17" i="12"/>
  <c r="P18" i="12" s="1"/>
  <c r="P19" i="12" s="1"/>
  <c r="P20" i="12"/>
  <c r="P21" i="12" s="1"/>
  <c r="P22" i="12" s="1"/>
  <c r="P23" i="12" s="1"/>
  <c r="P24" i="12"/>
  <c r="P25" i="12" s="1"/>
  <c r="P26" i="12" s="1"/>
  <c r="P27" i="12" s="1"/>
  <c r="O17" i="12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N4" i="12"/>
  <c r="N4" i="30" s="1"/>
  <c r="Q16" i="12"/>
  <c r="P16" i="12"/>
  <c r="O16" i="12"/>
  <c r="Q17" i="41"/>
  <c r="Q18" i="41"/>
  <c r="Q19" i="41"/>
  <c r="Q20" i="41" s="1"/>
  <c r="Q21" i="41" s="1"/>
  <c r="Q22" i="41" s="1"/>
  <c r="Q23" i="41" s="1"/>
  <c r="Q24" i="41" s="1"/>
  <c r="Q25" i="41" s="1"/>
  <c r="Q26" i="41" s="1"/>
  <c r="Q27" i="41" s="1"/>
  <c r="P17" i="41"/>
  <c r="P18" i="41"/>
  <c r="P19" i="41"/>
  <c r="P20" i="41"/>
  <c r="P21" i="41" s="1"/>
  <c r="P22" i="41" s="1"/>
  <c r="P23" i="41" s="1"/>
  <c r="P24" i="41" s="1"/>
  <c r="P25" i="41" s="1"/>
  <c r="P26" i="41" s="1"/>
  <c r="P27" i="41" s="1"/>
  <c r="O17" i="41"/>
  <c r="O18" i="41" s="1"/>
  <c r="O19" i="41" s="1"/>
  <c r="O20" i="41" s="1"/>
  <c r="O21" i="41" s="1"/>
  <c r="O22" i="41" s="1"/>
  <c r="O23" i="41" s="1"/>
  <c r="O24" i="41" s="1"/>
  <c r="O25" i="41" s="1"/>
  <c r="O26" i="41" s="1"/>
  <c r="O27" i="41" s="1"/>
  <c r="N17" i="41"/>
  <c r="N18" i="41"/>
  <c r="N19" i="41" s="1"/>
  <c r="N20" i="41" s="1"/>
  <c r="N21" i="41" s="1"/>
  <c r="N22" i="41" s="1"/>
  <c r="N23" i="41"/>
  <c r="N24" i="41" s="1"/>
  <c r="N25" i="41" s="1"/>
  <c r="N26" i="41" s="1"/>
  <c r="N27" i="41" s="1"/>
  <c r="M17" i="41"/>
  <c r="M18" i="41"/>
  <c r="M19" i="41"/>
  <c r="M20" i="41"/>
  <c r="M21" i="41" s="1"/>
  <c r="M22" i="41" s="1"/>
  <c r="M23" i="41" s="1"/>
  <c r="M24" i="41" s="1"/>
  <c r="M25" i="41" s="1"/>
  <c r="M26" i="41" s="1"/>
  <c r="M27" i="41" s="1"/>
  <c r="L17" i="41"/>
  <c r="L18" i="41" s="1"/>
  <c r="L19" i="41" s="1"/>
  <c r="L20" i="41" s="1"/>
  <c r="L21" i="41" s="1"/>
  <c r="L22" i="41" s="1"/>
  <c r="L23" i="41" s="1"/>
  <c r="L24" i="41" s="1"/>
  <c r="L25" i="41" s="1"/>
  <c r="L26" i="41" s="1"/>
  <c r="L27" i="41" s="1"/>
  <c r="K17" i="41"/>
  <c r="K18" i="41"/>
  <c r="K19" i="41" s="1"/>
  <c r="K20" i="41" s="1"/>
  <c r="K21" i="41" s="1"/>
  <c r="K22" i="41" s="1"/>
  <c r="K23" i="41" s="1"/>
  <c r="K24" i="41" s="1"/>
  <c r="K25" i="41" s="1"/>
  <c r="K26" i="41" s="1"/>
  <c r="K27" i="41" s="1"/>
  <c r="J17" i="41"/>
  <c r="J18" i="41"/>
  <c r="J19" i="41" s="1"/>
  <c r="J20" i="41" s="1"/>
  <c r="J21" i="41" s="1"/>
  <c r="J22" i="41" s="1"/>
  <c r="J23" i="41" s="1"/>
  <c r="J24" i="41" s="1"/>
  <c r="J25" i="41" s="1"/>
  <c r="J26" i="41" s="1"/>
  <c r="J27" i="41" s="1"/>
  <c r="I17" i="41"/>
  <c r="I18" i="41"/>
  <c r="I19" i="41"/>
  <c r="I20" i="41" s="1"/>
  <c r="I21" i="41" s="1"/>
  <c r="I22" i="41" s="1"/>
  <c r="I23" i="41" s="1"/>
  <c r="I24" i="41" s="1"/>
  <c r="I25" i="41" s="1"/>
  <c r="I26" i="41" s="1"/>
  <c r="I27" i="41" s="1"/>
  <c r="H17" i="41"/>
  <c r="H18" i="41" s="1"/>
  <c r="H19" i="41" s="1"/>
  <c r="H20" i="41"/>
  <c r="H21" i="41" s="1"/>
  <c r="H22" i="41" s="1"/>
  <c r="H23" i="41" s="1"/>
  <c r="H24" i="41" s="1"/>
  <c r="H25" i="41" s="1"/>
  <c r="H26" i="41" s="1"/>
  <c r="H27" i="41" s="1"/>
  <c r="G17" i="4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F17" i="41"/>
  <c r="F18" i="41"/>
  <c r="F19" i="41"/>
  <c r="F20" i="41" s="1"/>
  <c r="F21" i="41" s="1"/>
  <c r="F22" i="41" s="1"/>
  <c r="F23" i="41" s="1"/>
  <c r="F24" i="41" s="1"/>
  <c r="F25" i="41" s="1"/>
  <c r="F26" i="41" s="1"/>
  <c r="D10" i="95" s="1"/>
  <c r="E17" i="41"/>
  <c r="E18" i="41"/>
  <c r="E19" i="41"/>
  <c r="E20" i="41"/>
  <c r="E21" i="41" s="1"/>
  <c r="E22" i="41" s="1"/>
  <c r="E23" i="41" s="1"/>
  <c r="E24" i="41" s="1"/>
  <c r="E25" i="41" s="1"/>
  <c r="E26" i="41" s="1"/>
  <c r="E27" i="41" s="1"/>
  <c r="D17" i="41"/>
  <c r="D18" i="41" s="1"/>
  <c r="D19" i="41" s="1"/>
  <c r="D20" i="41" s="1"/>
  <c r="D21" i="41" s="1"/>
  <c r="D22" i="41" s="1"/>
  <c r="D23" i="41" s="1"/>
  <c r="D24" i="41" s="1"/>
  <c r="D25" i="41" s="1"/>
  <c r="D26" i="41" s="1"/>
  <c r="D27" i="41" s="1"/>
  <c r="C17" i="41"/>
  <c r="C18" i="41"/>
  <c r="C19" i="41" s="1"/>
  <c r="C20" i="41" s="1"/>
  <c r="C21" i="41" s="1"/>
  <c r="C22" i="41" s="1"/>
  <c r="C23" i="41" s="1"/>
  <c r="C24" i="41" s="1"/>
  <c r="C25" i="41" s="1"/>
  <c r="C26" i="41" s="1"/>
  <c r="C27" i="41" s="1"/>
  <c r="B17" i="41"/>
  <c r="B18" i="41"/>
  <c r="B19" i="41" s="1"/>
  <c r="B20" i="41" s="1"/>
  <c r="B21" i="41" s="1"/>
  <c r="B22" i="41" s="1"/>
  <c r="B23" i="41" s="1"/>
  <c r="B24" i="41" s="1"/>
  <c r="B25" i="41" s="1"/>
  <c r="B26" i="41" s="1"/>
  <c r="N16" i="41"/>
  <c r="J16" i="41"/>
  <c r="I16" i="41"/>
  <c r="H16" i="41"/>
  <c r="G16" i="41"/>
  <c r="F16" i="41"/>
  <c r="E16" i="41"/>
  <c r="D16" i="41"/>
  <c r="C16" i="41"/>
  <c r="B16" i="41"/>
  <c r="M17" i="56"/>
  <c r="M18" i="56" s="1"/>
  <c r="M19" i="56" s="1"/>
  <c r="M20" i="56" s="1"/>
  <c r="M21" i="56" s="1"/>
  <c r="M22" i="56" s="1"/>
  <c r="M23" i="56" s="1"/>
  <c r="M24" i="56" s="1"/>
  <c r="M25" i="56" s="1"/>
  <c r="M26" i="56" s="1"/>
  <c r="M27" i="56" s="1"/>
  <c r="L17" i="56"/>
  <c r="L18" i="56"/>
  <c r="L19" i="56"/>
  <c r="L20" i="56" s="1"/>
  <c r="L21" i="56" s="1"/>
  <c r="L22" i="56" s="1"/>
  <c r="L23" i="56" s="1"/>
  <c r="L24" i="56" s="1"/>
  <c r="L25" i="56" s="1"/>
  <c r="L26" i="56" s="1"/>
  <c r="L27" i="56" s="1"/>
  <c r="K17" i="56"/>
  <c r="K18" i="56"/>
  <c r="K19" i="56"/>
  <c r="K20" i="56"/>
  <c r="K21" i="56" s="1"/>
  <c r="K22" i="56" s="1"/>
  <c r="K23" i="56" s="1"/>
  <c r="K24" i="56" s="1"/>
  <c r="K25" i="56" s="1"/>
  <c r="K26" i="56" s="1"/>
  <c r="K27" i="56" s="1"/>
  <c r="J17" i="56"/>
  <c r="J18" i="56" s="1"/>
  <c r="J19" i="56" s="1"/>
  <c r="J20" i="56" s="1"/>
  <c r="J21" i="56" s="1"/>
  <c r="J22" i="56" s="1"/>
  <c r="J23" i="56" s="1"/>
  <c r="J24" i="56" s="1"/>
  <c r="J25" i="56" s="1"/>
  <c r="J26" i="56" s="1"/>
  <c r="J27" i="56" s="1"/>
  <c r="I17" i="56"/>
  <c r="I18" i="56"/>
  <c r="I19" i="56" s="1"/>
  <c r="I20" i="56" s="1"/>
  <c r="I21" i="56" s="1"/>
  <c r="I22" i="56" s="1"/>
  <c r="I23" i="56" s="1"/>
  <c r="I24" i="56" s="1"/>
  <c r="I25" i="56" s="1"/>
  <c r="I26" i="56" s="1"/>
  <c r="I27" i="56" s="1"/>
  <c r="H17" i="56"/>
  <c r="H18" i="56"/>
  <c r="H19" i="56" s="1"/>
  <c r="H20" i="56" s="1"/>
  <c r="H21" i="56" s="1"/>
  <c r="H22" i="56" s="1"/>
  <c r="H23" i="56" s="1"/>
  <c r="H24" i="56" s="1"/>
  <c r="H25" i="56" s="1"/>
  <c r="H26" i="56" s="1"/>
  <c r="H27" i="56" s="1"/>
  <c r="G17" i="56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F4" i="56"/>
  <c r="F5" i="56"/>
  <c r="F6" i="56"/>
  <c r="F7" i="56"/>
  <c r="F8" i="56"/>
  <c r="F9" i="56"/>
  <c r="F10" i="56"/>
  <c r="F11" i="56"/>
  <c r="F12" i="56"/>
  <c r="F13" i="56"/>
  <c r="F14" i="56"/>
  <c r="F15" i="56"/>
  <c r="E17" i="56"/>
  <c r="E18" i="56"/>
  <c r="E19" i="56" s="1"/>
  <c r="E20" i="56" s="1"/>
  <c r="E21" i="56" s="1"/>
  <c r="E22" i="56" s="1"/>
  <c r="E23" i="56" s="1"/>
  <c r="E24" i="56" s="1"/>
  <c r="E25" i="56" s="1"/>
  <c r="E26" i="56" s="1"/>
  <c r="E27" i="56" s="1"/>
  <c r="D17" i="56"/>
  <c r="D18" i="56"/>
  <c r="D19" i="56" s="1"/>
  <c r="D20" i="56" s="1"/>
  <c r="D21" i="56" s="1"/>
  <c r="D22" i="56" s="1"/>
  <c r="D23" i="56" s="1"/>
  <c r="D24" i="56" s="1"/>
  <c r="D25" i="56" s="1"/>
  <c r="D26" i="56" s="1"/>
  <c r="D27" i="56" s="1"/>
  <c r="C17" i="56"/>
  <c r="C18" i="56" s="1"/>
  <c r="C19" i="56" s="1"/>
  <c r="C20" i="56"/>
  <c r="C21" i="56" s="1"/>
  <c r="C22" i="56" s="1"/>
  <c r="C23" i="56" s="1"/>
  <c r="C24" i="56" s="1"/>
  <c r="C25" i="56" s="1"/>
  <c r="C26" i="56" s="1"/>
  <c r="C27" i="56" s="1"/>
  <c r="B17" i="56"/>
  <c r="B18" i="56" s="1"/>
  <c r="B19" i="56" s="1"/>
  <c r="B20" i="56" s="1"/>
  <c r="B21" i="56" s="1"/>
  <c r="B22" i="56" s="1"/>
  <c r="B23" i="56" s="1"/>
  <c r="B24" i="56" s="1"/>
  <c r="B25" i="56" s="1"/>
  <c r="B26" i="56" s="1"/>
  <c r="M16" i="56"/>
  <c r="L16" i="56"/>
  <c r="K16" i="56"/>
  <c r="J16" i="56"/>
  <c r="I16" i="56"/>
  <c r="H16" i="56"/>
  <c r="G16" i="56"/>
  <c r="E16" i="56"/>
  <c r="D16" i="56"/>
  <c r="C16" i="56"/>
  <c r="M17" i="12"/>
  <c r="M18" i="12"/>
  <c r="M19" i="12" s="1"/>
  <c r="M20" i="12" s="1"/>
  <c r="M21" i="12" s="1"/>
  <c r="M22" i="12" s="1"/>
  <c r="M23" i="12" s="1"/>
  <c r="M24" i="12" s="1"/>
  <c r="M25" i="12" s="1"/>
  <c r="M26" i="12" s="1"/>
  <c r="M27" i="12" s="1"/>
  <c r="L17" i="12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K17" i="12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I17" i="12"/>
  <c r="I18" i="12"/>
  <c r="I19" i="12" s="1"/>
  <c r="I20" i="12" s="1"/>
  <c r="I21" i="12" s="1"/>
  <c r="I22" i="12" s="1"/>
  <c r="I23" i="12" s="1"/>
  <c r="I24" i="12" s="1"/>
  <c r="I25" i="12" s="1"/>
  <c r="I26" i="12" s="1"/>
  <c r="I27" i="12" s="1"/>
  <c r="H17" i="12"/>
  <c r="H18" i="12"/>
  <c r="H19" i="12" s="1"/>
  <c r="H20" i="12" s="1"/>
  <c r="H21" i="12" s="1"/>
  <c r="H22" i="12" s="1"/>
  <c r="H23" i="12" s="1"/>
  <c r="H24" i="12" s="1"/>
  <c r="H25" i="12" s="1"/>
  <c r="H26" i="12" s="1"/>
  <c r="H27" i="12" s="1"/>
  <c r="G17" i="12"/>
  <c r="G18" i="12" s="1"/>
  <c r="G19" i="12" s="1"/>
  <c r="G20" i="12"/>
  <c r="G21" i="12" s="1"/>
  <c r="G22" i="12" s="1"/>
  <c r="G23" i="12" s="1"/>
  <c r="G24" i="12" s="1"/>
  <c r="G25" i="12" s="1"/>
  <c r="G26" i="12" s="1"/>
  <c r="G27" i="12" s="1"/>
  <c r="F21" i="12"/>
  <c r="F22" i="12" s="1"/>
  <c r="F23" i="12" s="1"/>
  <c r="F24" i="12" s="1"/>
  <c r="F25" i="12" s="1"/>
  <c r="F26" i="12" s="1"/>
  <c r="E17" i="12"/>
  <c r="E18" i="12"/>
  <c r="E19" i="12" s="1"/>
  <c r="E20" i="12" s="1"/>
  <c r="E21" i="12" s="1"/>
  <c r="E22" i="12" s="1"/>
  <c r="E23" i="12" s="1"/>
  <c r="E24" i="12" s="1"/>
  <c r="E25" i="12" s="1"/>
  <c r="E26" i="12"/>
  <c r="E27" i="12" s="1"/>
  <c r="D17" i="12"/>
  <c r="D18" i="12"/>
  <c r="D19" i="12" s="1"/>
  <c r="D20" i="12" s="1"/>
  <c r="D21" i="12" s="1"/>
  <c r="D22" i="12" s="1"/>
  <c r="D23" i="12" s="1"/>
  <c r="D24" i="12" s="1"/>
  <c r="D25" i="12" s="1"/>
  <c r="D26" i="12" s="1"/>
  <c r="D27" i="12" s="1"/>
  <c r="C17" i="12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B4" i="12"/>
  <c r="B6" i="12"/>
  <c r="B7" i="12"/>
  <c r="B8" i="12"/>
  <c r="B9" i="12"/>
  <c r="M16" i="12"/>
  <c r="L16" i="12"/>
  <c r="K16" i="12"/>
  <c r="J16" i="12"/>
  <c r="I16" i="12"/>
  <c r="H16" i="12"/>
  <c r="G16" i="12"/>
  <c r="F16" i="12"/>
  <c r="E16" i="12"/>
  <c r="D16" i="12"/>
  <c r="C16" i="12"/>
  <c r="Q17" i="40"/>
  <c r="Q18" i="40"/>
  <c r="Q19" i="40" s="1"/>
  <c r="Q20" i="40" s="1"/>
  <c r="Q21" i="40" s="1"/>
  <c r="Q22" i="40" s="1"/>
  <c r="Q23" i="40" s="1"/>
  <c r="Q24" i="40" s="1"/>
  <c r="Q25" i="40" s="1"/>
  <c r="Q26" i="40" s="1"/>
  <c r="Q27" i="40" s="1"/>
  <c r="P17" i="40"/>
  <c r="P18" i="40"/>
  <c r="P19" i="40" s="1"/>
  <c r="P20" i="40" s="1"/>
  <c r="P21" i="40" s="1"/>
  <c r="P22" i="40" s="1"/>
  <c r="P23" i="40" s="1"/>
  <c r="P24" i="40" s="1"/>
  <c r="P25" i="40" s="1"/>
  <c r="P26" i="40"/>
  <c r="P27" i="40" s="1"/>
  <c r="O17" i="40"/>
  <c r="O18" i="40" s="1"/>
  <c r="O19" i="40" s="1"/>
  <c r="O20" i="40" s="1"/>
  <c r="O21" i="40" s="1"/>
  <c r="O22" i="40" s="1"/>
  <c r="O23" i="40" s="1"/>
  <c r="O24" i="40" s="1"/>
  <c r="O25" i="40" s="1"/>
  <c r="O26" i="40" s="1"/>
  <c r="O27" i="40" s="1"/>
  <c r="N20" i="40"/>
  <c r="N21" i="40" s="1"/>
  <c r="N22" i="40" s="1"/>
  <c r="N23" i="40" s="1"/>
  <c r="N24" i="40" s="1"/>
  <c r="N25" i="40" s="1"/>
  <c r="N26" i="40" s="1"/>
  <c r="N27" i="40" s="1"/>
  <c r="M17" i="40"/>
  <c r="M18" i="40" s="1"/>
  <c r="M19" i="40" s="1"/>
  <c r="M20" i="40" s="1"/>
  <c r="M21" i="40" s="1"/>
  <c r="M22" i="40" s="1"/>
  <c r="M23" i="40" s="1"/>
  <c r="M24" i="40" s="1"/>
  <c r="M25" i="40" s="1"/>
  <c r="M26" i="40" s="1"/>
  <c r="M27" i="40" s="1"/>
  <c r="L17" i="40"/>
  <c r="L18" i="40"/>
  <c r="L19" i="40" s="1"/>
  <c r="L20" i="40" s="1"/>
  <c r="L21" i="40" s="1"/>
  <c r="L22" i="40"/>
  <c r="L23" i="40" s="1"/>
  <c r="L24" i="40" s="1"/>
  <c r="L25" i="40" s="1"/>
  <c r="L26" i="40" s="1"/>
  <c r="L27" i="40" s="1"/>
  <c r="K17" i="40"/>
  <c r="K18" i="40"/>
  <c r="K19" i="40" s="1"/>
  <c r="K20" i="40" s="1"/>
  <c r="K21" i="40" s="1"/>
  <c r="K22" i="40" s="1"/>
  <c r="K23" i="40" s="1"/>
  <c r="K24" i="40" s="1"/>
  <c r="K25" i="40" s="1"/>
  <c r="K26" i="40" s="1"/>
  <c r="K27" i="40" s="1"/>
  <c r="J17" i="40"/>
  <c r="J18" i="40" s="1"/>
  <c r="J19" i="40" s="1"/>
  <c r="J20" i="40" s="1"/>
  <c r="J21" i="40" s="1"/>
  <c r="J22" i="40" s="1"/>
  <c r="J23" i="40" s="1"/>
  <c r="J24" i="40" s="1"/>
  <c r="J25" i="40" s="1"/>
  <c r="J26" i="40" s="1"/>
  <c r="J27" i="40" s="1"/>
  <c r="I17" i="40"/>
  <c r="I18" i="40" s="1"/>
  <c r="I19" i="40" s="1"/>
  <c r="I20" i="40" s="1"/>
  <c r="I21" i="40" s="1"/>
  <c r="I22" i="40" s="1"/>
  <c r="I23" i="40" s="1"/>
  <c r="I24" i="40" s="1"/>
  <c r="I25" i="40" s="1"/>
  <c r="I26" i="40" s="1"/>
  <c r="I27" i="40" s="1"/>
  <c r="H17" i="40"/>
  <c r="H18" i="40"/>
  <c r="H19" i="40" s="1"/>
  <c r="H20" i="40" s="1"/>
  <c r="H21" i="40" s="1"/>
  <c r="H22" i="40" s="1"/>
  <c r="H23" i="40" s="1"/>
  <c r="H24" i="40" s="1"/>
  <c r="H25" i="40" s="1"/>
  <c r="H26" i="40" s="1"/>
  <c r="H27" i="40" s="1"/>
  <c r="G17" i="40"/>
  <c r="G18" i="40"/>
  <c r="G19" i="40" s="1"/>
  <c r="G20" i="40" s="1"/>
  <c r="G21" i="40" s="1"/>
  <c r="G22" i="40" s="1"/>
  <c r="G23" i="40" s="1"/>
  <c r="G24" i="40" s="1"/>
  <c r="G25" i="40" s="1"/>
  <c r="G26" i="40" s="1"/>
  <c r="G27" i="40" s="1"/>
  <c r="F27" i="40"/>
  <c r="E17" i="40"/>
  <c r="E18" i="40"/>
  <c r="E19" i="40" s="1"/>
  <c r="E20" i="40" s="1"/>
  <c r="E21" i="40" s="1"/>
  <c r="E22" i="40" s="1"/>
  <c r="E23" i="40" s="1"/>
  <c r="E24" i="40" s="1"/>
  <c r="E25" i="40" s="1"/>
  <c r="E26" i="40" s="1"/>
  <c r="E27" i="40" s="1"/>
  <c r="D17" i="40"/>
  <c r="D18" i="40" s="1"/>
  <c r="D19" i="40" s="1"/>
  <c r="D20" i="40" s="1"/>
  <c r="D21" i="40" s="1"/>
  <c r="D22" i="40" s="1"/>
  <c r="D23" i="40" s="1"/>
  <c r="D24" i="40" s="1"/>
  <c r="D25" i="40" s="1"/>
  <c r="D26" i="40" s="1"/>
  <c r="D27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B20" i="40"/>
  <c r="B21" i="40"/>
  <c r="B22" i="40" s="1"/>
  <c r="B23" i="40" s="1"/>
  <c r="B24" i="40" s="1"/>
  <c r="B25" i="40"/>
  <c r="B26" i="40" s="1"/>
  <c r="Q16" i="40"/>
  <c r="P16" i="40"/>
  <c r="O16" i="40"/>
  <c r="M16" i="40"/>
  <c r="L16" i="40"/>
  <c r="K16" i="40"/>
  <c r="I16" i="40"/>
  <c r="H16" i="40"/>
  <c r="G16" i="40"/>
  <c r="F16" i="40"/>
  <c r="E16" i="40"/>
  <c r="D16" i="40"/>
  <c r="C16" i="40"/>
  <c r="B16" i="40"/>
  <c r="J16" i="18"/>
  <c r="E7" i="83"/>
  <c r="N17" i="86"/>
  <c r="N19" i="28"/>
  <c r="N7" i="86"/>
  <c r="N7" i="91"/>
  <c r="N7" i="83"/>
  <c r="N22" i="86"/>
  <c r="N44" i="86"/>
  <c r="N72" i="83"/>
  <c r="N71" i="83"/>
  <c r="N69" i="83"/>
  <c r="N68" i="83"/>
  <c r="N67" i="83"/>
  <c r="H56" i="83"/>
  <c r="H55" i="83"/>
  <c r="H53" i="83"/>
  <c r="Q46" i="83"/>
  <c r="H46" i="83"/>
  <c r="Q45" i="83"/>
  <c r="H45" i="83"/>
  <c r="Q44" i="83"/>
  <c r="H44" i="83"/>
  <c r="H43" i="83"/>
  <c r="T24" i="83"/>
  <c r="Q24" i="83"/>
  <c r="H24" i="83"/>
  <c r="T23" i="83"/>
  <c r="Q23" i="83"/>
  <c r="H23" i="83"/>
  <c r="T22" i="83"/>
  <c r="Q22" i="83"/>
  <c r="H22" i="83"/>
  <c r="Q21" i="83"/>
  <c r="H21" i="83"/>
  <c r="W20" i="83"/>
  <c r="T20" i="83"/>
  <c r="Q20" i="83"/>
  <c r="H20" i="83"/>
  <c r="Q19" i="83"/>
  <c r="H19" i="83"/>
  <c r="T18" i="83"/>
  <c r="Q18" i="83"/>
  <c r="H18" i="83"/>
  <c r="T17" i="83"/>
  <c r="H17" i="83"/>
  <c r="N13" i="83"/>
  <c r="N12" i="83"/>
  <c r="H12" i="83"/>
  <c r="N11" i="83"/>
  <c r="H11" i="83"/>
  <c r="Q10" i="83"/>
  <c r="N10" i="83"/>
  <c r="H10" i="83"/>
  <c r="Q9" i="83"/>
  <c r="N9" i="83"/>
  <c r="H9" i="83"/>
  <c r="Q8" i="83"/>
  <c r="N8" i="83"/>
  <c r="H8" i="83"/>
  <c r="W35" i="91"/>
  <c r="T24" i="91"/>
  <c r="Q24" i="91"/>
  <c r="T23" i="91"/>
  <c r="Q23" i="91"/>
  <c r="T22" i="91"/>
  <c r="Q22" i="91"/>
  <c r="Q21" i="91"/>
  <c r="T20" i="91"/>
  <c r="Q20" i="91"/>
  <c r="Q19" i="91"/>
  <c r="T18" i="91"/>
  <c r="Q18" i="91"/>
  <c r="T17" i="91"/>
  <c r="Q17" i="91"/>
  <c r="K17" i="91"/>
  <c r="E16" i="91"/>
  <c r="N13" i="91"/>
  <c r="N12" i="91"/>
  <c r="H12" i="91"/>
  <c r="N11" i="91"/>
  <c r="H11" i="91"/>
  <c r="Q10" i="91"/>
  <c r="N10" i="91"/>
  <c r="H10" i="91"/>
  <c r="Q9" i="91"/>
  <c r="N9" i="91"/>
  <c r="H9" i="91"/>
  <c r="Q8" i="91"/>
  <c r="N8" i="91"/>
  <c r="H8" i="91"/>
  <c r="N10" i="86"/>
  <c r="N58" i="28"/>
  <c r="N62" i="28"/>
  <c r="N63" i="28"/>
  <c r="N64" i="28"/>
  <c r="N65" i="28"/>
  <c r="N67" i="28"/>
  <c r="N68" i="28"/>
  <c r="N69" i="28"/>
  <c r="N71" i="28"/>
  <c r="N56" i="28"/>
  <c r="N55" i="28"/>
  <c r="N53" i="28"/>
  <c r="N52" i="28"/>
  <c r="N57" i="86"/>
  <c r="N45" i="28"/>
  <c r="N44" i="28"/>
  <c r="N43" i="28"/>
  <c r="N41" i="28"/>
  <c r="N40" i="28"/>
  <c r="N39" i="28"/>
  <c r="N38" i="28"/>
  <c r="N37" i="28"/>
  <c r="N36" i="28"/>
  <c r="N35" i="28"/>
  <c r="N33" i="28"/>
  <c r="N32" i="28"/>
  <c r="N23" i="86"/>
  <c r="N30" i="28"/>
  <c r="N29" i="28"/>
  <c r="N20" i="86"/>
  <c r="N28" i="28"/>
  <c r="N19" i="86"/>
  <c r="N27" i="28"/>
  <c r="N18" i="86"/>
  <c r="N24" i="28"/>
  <c r="N23" i="28"/>
  <c r="N13" i="86"/>
  <c r="N22" i="28"/>
  <c r="N21" i="28"/>
  <c r="N12" i="86"/>
  <c r="N20" i="28"/>
  <c r="N11" i="86"/>
  <c r="N9" i="86"/>
  <c r="N18" i="28"/>
  <c r="N8" i="86"/>
  <c r="N17" i="28"/>
  <c r="N47" i="86"/>
  <c r="V70" i="29"/>
  <c r="AD70" i="29"/>
  <c r="AD69" i="29"/>
  <c r="AD68" i="29"/>
  <c r="AD67" i="29"/>
  <c r="AD66" i="29"/>
  <c r="AD65" i="29"/>
  <c r="AD64" i="29"/>
  <c r="AD63" i="29"/>
  <c r="AD62" i="29"/>
  <c r="AD61" i="29"/>
  <c r="AD60" i="29"/>
  <c r="AD59" i="29"/>
  <c r="AD58" i="29"/>
  <c r="AD57" i="29"/>
  <c r="AD55" i="29"/>
  <c r="AD52" i="29"/>
  <c r="AD51" i="29"/>
  <c r="AD50" i="29"/>
  <c r="AD49" i="29"/>
  <c r="AD48" i="29"/>
  <c r="AD47" i="29"/>
  <c r="AD46" i="29"/>
  <c r="AD45" i="29"/>
  <c r="AD44" i="29"/>
  <c r="AD43" i="29"/>
  <c r="AD42" i="29"/>
  <c r="AD41" i="29"/>
  <c r="AD40" i="29"/>
  <c r="AD39" i="29"/>
  <c r="AD38" i="29"/>
  <c r="AD37" i="29"/>
  <c r="AD36" i="29"/>
  <c r="AD35" i="29"/>
  <c r="AD34" i="29"/>
  <c r="AD33" i="29"/>
  <c r="AD32" i="29"/>
  <c r="AD31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4" i="29"/>
  <c r="AD13" i="29"/>
  <c r="AD12" i="29"/>
  <c r="AD11" i="29"/>
  <c r="AD10" i="29"/>
  <c r="AD9" i="29"/>
  <c r="AD8" i="29"/>
  <c r="AD7" i="29"/>
  <c r="AD15" i="29"/>
  <c r="Z59" i="29"/>
  <c r="Z52" i="29"/>
  <c r="Z51" i="29"/>
  <c r="Z50" i="29"/>
  <c r="Z49" i="29"/>
  <c r="Z48" i="29"/>
  <c r="Z47" i="29"/>
  <c r="Z46" i="29"/>
  <c r="Z45" i="29"/>
  <c r="Z44" i="29"/>
  <c r="Z43" i="29"/>
  <c r="Z42" i="29"/>
  <c r="Z41" i="29"/>
  <c r="Z40" i="29"/>
  <c r="Z39" i="29"/>
  <c r="Z38" i="29"/>
  <c r="Z37" i="29"/>
  <c r="Z36" i="29"/>
  <c r="Z35" i="29"/>
  <c r="Z34" i="29"/>
  <c r="Z33" i="29"/>
  <c r="Z32" i="29"/>
  <c r="Z31" i="29"/>
  <c r="Z30" i="29"/>
  <c r="Z29" i="29"/>
  <c r="Z28" i="29"/>
  <c r="Z27" i="29"/>
  <c r="Z26" i="29"/>
  <c r="Z25" i="29"/>
  <c r="Z24" i="29"/>
  <c r="Z23" i="29"/>
  <c r="Z22" i="29"/>
  <c r="Z21" i="29"/>
  <c r="Z20" i="29"/>
  <c r="Z19" i="29"/>
  <c r="Z18" i="29"/>
  <c r="Z17" i="29"/>
  <c r="Z16" i="29"/>
  <c r="Z15" i="29" s="1"/>
  <c r="Z14" i="29"/>
  <c r="Z13" i="29"/>
  <c r="Z12" i="29"/>
  <c r="Z11" i="29"/>
  <c r="Z10" i="29"/>
  <c r="Z9" i="29"/>
  <c r="Z8" i="29"/>
  <c r="Z7" i="29"/>
  <c r="Z6" i="29" s="1"/>
  <c r="V69" i="29"/>
  <c r="V55" i="29"/>
  <c r="V54" i="29" s="1"/>
  <c r="V71" i="29" s="1"/>
  <c r="V56" i="29"/>
  <c r="V57" i="29"/>
  <c r="V58" i="29"/>
  <c r="V59" i="29"/>
  <c r="V60" i="29"/>
  <c r="V61" i="29"/>
  <c r="V62" i="29"/>
  <c r="V63" i="29"/>
  <c r="V64" i="29"/>
  <c r="V65" i="29"/>
  <c r="V66" i="29"/>
  <c r="V67" i="29"/>
  <c r="V68" i="29"/>
  <c r="V52" i="29"/>
  <c r="V51" i="29"/>
  <c r="V50" i="29"/>
  <c r="V49" i="29"/>
  <c r="V48" i="29"/>
  <c r="V47" i="29"/>
  <c r="V46" i="29"/>
  <c r="V45" i="29"/>
  <c r="V44" i="29"/>
  <c r="V43" i="29"/>
  <c r="V42" i="29"/>
  <c r="V41" i="29"/>
  <c r="V40" i="29"/>
  <c r="V39" i="29"/>
  <c r="V38" i="29"/>
  <c r="V37" i="29"/>
  <c r="V36" i="29"/>
  <c r="V35" i="29"/>
  <c r="V34" i="29"/>
  <c r="V33" i="29"/>
  <c r="V32" i="29"/>
  <c r="V31" i="29"/>
  <c r="V30" i="29"/>
  <c r="V29" i="29"/>
  <c r="V28" i="29"/>
  <c r="V27" i="29"/>
  <c r="V26" i="29"/>
  <c r="V25" i="29"/>
  <c r="V24" i="29"/>
  <c r="V23" i="29"/>
  <c r="V22" i="29"/>
  <c r="V21" i="29"/>
  <c r="V20" i="29"/>
  <c r="V19" i="29"/>
  <c r="V18" i="29"/>
  <c r="V17" i="29"/>
  <c r="V16" i="29"/>
  <c r="V15" i="29" s="1"/>
  <c r="V14" i="29"/>
  <c r="V13" i="29"/>
  <c r="V12" i="29"/>
  <c r="V11" i="29"/>
  <c r="V10" i="29"/>
  <c r="V9" i="29"/>
  <c r="V8" i="29"/>
  <c r="V7" i="29"/>
  <c r="V6" i="29" s="1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R13" i="29"/>
  <c r="R14" i="29"/>
  <c r="R11" i="29"/>
  <c r="R7" i="29"/>
  <c r="R8" i="29"/>
  <c r="R9" i="29"/>
  <c r="R10" i="29"/>
  <c r="R12" i="29"/>
  <c r="R6" i="29"/>
  <c r="N8" i="29"/>
  <c r="N9" i="29"/>
  <c r="N10" i="29"/>
  <c r="N11" i="29"/>
  <c r="N12" i="29"/>
  <c r="N13" i="29"/>
  <c r="N14" i="29"/>
  <c r="R59" i="29"/>
  <c r="R60" i="29"/>
  <c r="R61" i="29"/>
  <c r="R62" i="29"/>
  <c r="R63" i="29"/>
  <c r="R65" i="29"/>
  <c r="R64" i="29"/>
  <c r="R66" i="29"/>
  <c r="R67" i="29"/>
  <c r="R68" i="29"/>
  <c r="R55" i="29"/>
  <c r="R56" i="29"/>
  <c r="R57" i="29"/>
  <c r="R58" i="29"/>
  <c r="R69" i="29"/>
  <c r="R70" i="29"/>
  <c r="R54" i="29"/>
  <c r="R27" i="29"/>
  <c r="R28" i="29"/>
  <c r="R30" i="29"/>
  <c r="R16" i="29"/>
  <c r="R15" i="29" s="1"/>
  <c r="R17" i="29"/>
  <c r="R18" i="29"/>
  <c r="R19" i="29"/>
  <c r="R20" i="29"/>
  <c r="R21" i="29"/>
  <c r="R22" i="29"/>
  <c r="R23" i="29"/>
  <c r="R24" i="29"/>
  <c r="R25" i="29"/>
  <c r="R26" i="29"/>
  <c r="R29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N26" i="29"/>
  <c r="N27" i="29"/>
  <c r="N31" i="29"/>
  <c r="N40" i="29"/>
  <c r="N46" i="29"/>
  <c r="N47" i="29"/>
  <c r="N48" i="29"/>
  <c r="N51" i="29"/>
  <c r="N52" i="29"/>
  <c r="N17" i="29"/>
  <c r="N18" i="29"/>
  <c r="N19" i="29"/>
  <c r="N20" i="29"/>
  <c r="N21" i="29"/>
  <c r="N22" i="29"/>
  <c r="N23" i="29"/>
  <c r="N24" i="29"/>
  <c r="N25" i="29"/>
  <c r="N28" i="29"/>
  <c r="N29" i="29"/>
  <c r="N30" i="29"/>
  <c r="N32" i="29"/>
  <c r="N33" i="29"/>
  <c r="N34" i="29"/>
  <c r="N35" i="29"/>
  <c r="N36" i="29"/>
  <c r="N37" i="29"/>
  <c r="N38" i="29"/>
  <c r="N39" i="29"/>
  <c r="N41" i="29"/>
  <c r="N42" i="29"/>
  <c r="N43" i="29"/>
  <c r="N44" i="29"/>
  <c r="N45" i="29"/>
  <c r="N49" i="29"/>
  <c r="N50" i="29"/>
  <c r="N56" i="29"/>
  <c r="N54" i="29" s="1"/>
  <c r="N55" i="29"/>
  <c r="F29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7" i="29"/>
  <c r="F8" i="29"/>
  <c r="F9" i="29"/>
  <c r="F10" i="29"/>
  <c r="F11" i="29"/>
  <c r="F12" i="29"/>
  <c r="F13" i="29"/>
  <c r="F14" i="29"/>
  <c r="F55" i="29"/>
  <c r="F56" i="29"/>
  <c r="F54" i="29" s="1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J10" i="29"/>
  <c r="J11" i="29"/>
  <c r="J7" i="29"/>
  <c r="J8" i="29"/>
  <c r="J6" i="29" s="1"/>
  <c r="J9" i="29"/>
  <c r="J12" i="29"/>
  <c r="J13" i="29"/>
  <c r="J14" i="29"/>
  <c r="J55" i="29"/>
  <c r="J58" i="29"/>
  <c r="J56" i="29"/>
  <c r="J54" i="29" s="1"/>
  <c r="J57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19" i="29"/>
  <c r="J17" i="29"/>
  <c r="J16" i="29"/>
  <c r="J18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AB55" i="29"/>
  <c r="AB56" i="29"/>
  <c r="AB57" i="29"/>
  <c r="AB58" i="29"/>
  <c r="AB59" i="29"/>
  <c r="AB60" i="29"/>
  <c r="AB61" i="29"/>
  <c r="AB62" i="29"/>
  <c r="AB63" i="29"/>
  <c r="AB64" i="29"/>
  <c r="AB65" i="29"/>
  <c r="AB66" i="29"/>
  <c r="AB67" i="29"/>
  <c r="AB68" i="29"/>
  <c r="AB69" i="29"/>
  <c r="AB70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AB33" i="29"/>
  <c r="AB34" i="29"/>
  <c r="AB35" i="29"/>
  <c r="AB36" i="29"/>
  <c r="AB37" i="29"/>
  <c r="AB38" i="29"/>
  <c r="AB39" i="29"/>
  <c r="AB40" i="29"/>
  <c r="AB41" i="29"/>
  <c r="AB42" i="29"/>
  <c r="AB43" i="29"/>
  <c r="AB44" i="29"/>
  <c r="AB45" i="29"/>
  <c r="AB46" i="29"/>
  <c r="AB47" i="29"/>
  <c r="AB48" i="29"/>
  <c r="AB49" i="29"/>
  <c r="AB50" i="29"/>
  <c r="AB51" i="29"/>
  <c r="AB52" i="29"/>
  <c r="AB53" i="29"/>
  <c r="AB7" i="29"/>
  <c r="AB8" i="29"/>
  <c r="AB9" i="29"/>
  <c r="AB10" i="29"/>
  <c r="AB11" i="29"/>
  <c r="AB12" i="29"/>
  <c r="AB13" i="29"/>
  <c r="AA54" i="29"/>
  <c r="AA71" i="29" s="1"/>
  <c r="AA15" i="29"/>
  <c r="AA6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X44" i="29"/>
  <c r="X45" i="29"/>
  <c r="X46" i="29"/>
  <c r="X47" i="29"/>
  <c r="X48" i="29"/>
  <c r="X49" i="29"/>
  <c r="X50" i="29"/>
  <c r="X51" i="29"/>
  <c r="X52" i="29"/>
  <c r="X53" i="29"/>
  <c r="X7" i="29"/>
  <c r="X8" i="29"/>
  <c r="X9" i="29"/>
  <c r="X10" i="29"/>
  <c r="X11" i="29"/>
  <c r="X12" i="29"/>
  <c r="X13" i="29"/>
  <c r="W55" i="29"/>
  <c r="W56" i="29"/>
  <c r="W54" i="29" s="1"/>
  <c r="Y54" i="29" s="1"/>
  <c r="W57" i="29"/>
  <c r="W58" i="29"/>
  <c r="W59" i="29"/>
  <c r="W60" i="29"/>
  <c r="W61" i="29"/>
  <c r="W62" i="29"/>
  <c r="W63" i="29"/>
  <c r="W64" i="29"/>
  <c r="W65" i="29"/>
  <c r="W66" i="29"/>
  <c r="W67" i="29"/>
  <c r="W68" i="29"/>
  <c r="W69" i="29"/>
  <c r="W70" i="29"/>
  <c r="W15" i="29"/>
  <c r="W6" i="29"/>
  <c r="T55" i="29"/>
  <c r="T56" i="29"/>
  <c r="T57" i="29"/>
  <c r="T58" i="29"/>
  <c r="T59" i="29"/>
  <c r="T60" i="29"/>
  <c r="T61" i="29"/>
  <c r="T62" i="29"/>
  <c r="T63" i="29"/>
  <c r="T64" i="29"/>
  <c r="T65" i="29"/>
  <c r="T66" i="29"/>
  <c r="T67" i="29"/>
  <c r="T68" i="29"/>
  <c r="T69" i="29"/>
  <c r="T70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7" i="29"/>
  <c r="T8" i="29"/>
  <c r="T9" i="29"/>
  <c r="T10" i="29"/>
  <c r="T11" i="29"/>
  <c r="T12" i="29"/>
  <c r="T6" i="29"/>
  <c r="S54" i="29"/>
  <c r="S15" i="29"/>
  <c r="S6" i="29"/>
  <c r="P55" i="29"/>
  <c r="P56" i="29"/>
  <c r="P57" i="29"/>
  <c r="P58" i="29"/>
  <c r="P59" i="29"/>
  <c r="P60" i="29"/>
  <c r="P61" i="29"/>
  <c r="P62" i="29"/>
  <c r="P63" i="29"/>
  <c r="P64" i="29"/>
  <c r="P65" i="29"/>
  <c r="P66" i="29"/>
  <c r="P67" i="29"/>
  <c r="P68" i="29"/>
  <c r="P69" i="29"/>
  <c r="P70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P7" i="29"/>
  <c r="P8" i="29"/>
  <c r="P9" i="29"/>
  <c r="P10" i="29"/>
  <c r="P11" i="29"/>
  <c r="P12" i="29"/>
  <c r="O54" i="29"/>
  <c r="O15" i="29"/>
  <c r="O71" i="29" s="1"/>
  <c r="O6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54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7" i="29"/>
  <c r="L6" i="29" s="1"/>
  <c r="L8" i="29"/>
  <c r="L9" i="29"/>
  <c r="L10" i="29"/>
  <c r="L11" i="29"/>
  <c r="L12" i="29"/>
  <c r="K54" i="29"/>
  <c r="K71" i="29" s="1"/>
  <c r="K15" i="29"/>
  <c r="K6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15" i="29"/>
  <c r="H7" i="29"/>
  <c r="H8" i="29"/>
  <c r="H9" i="29"/>
  <c r="H10" i="29"/>
  <c r="H11" i="29"/>
  <c r="H12" i="29"/>
  <c r="G54" i="29"/>
  <c r="G15" i="29"/>
  <c r="G6" i="29"/>
  <c r="G71" i="29"/>
  <c r="D55" i="29"/>
  <c r="D54" i="29" s="1"/>
  <c r="D56" i="29"/>
  <c r="D57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15" i="29"/>
  <c r="E15" i="29" s="1"/>
  <c r="D7" i="29"/>
  <c r="D8" i="29"/>
  <c r="D9" i="29"/>
  <c r="D10" i="29"/>
  <c r="D6" i="29" s="1"/>
  <c r="E6" i="29" s="1"/>
  <c r="D11" i="29"/>
  <c r="C54" i="29"/>
  <c r="C71" i="29" s="1"/>
  <c r="C15" i="29"/>
  <c r="C6" i="29"/>
  <c r="W35" i="86"/>
  <c r="T17" i="86"/>
  <c r="T18" i="86"/>
  <c r="T22" i="86"/>
  <c r="T23" i="86"/>
  <c r="Q17" i="86"/>
  <c r="Q18" i="86"/>
  <c r="Q19" i="86"/>
  <c r="Q20" i="86"/>
  <c r="Q22" i="86"/>
  <c r="Q23" i="86"/>
  <c r="W44" i="86"/>
  <c r="Q44" i="86"/>
  <c r="H12" i="86"/>
  <c r="H11" i="86"/>
  <c r="Q10" i="86"/>
  <c r="H10" i="86"/>
  <c r="Q9" i="86"/>
  <c r="H9" i="86"/>
  <c r="Q8" i="86"/>
  <c r="H8" i="86"/>
  <c r="Q6" i="86"/>
  <c r="N6" i="86"/>
  <c r="W44" i="28"/>
  <c r="W35" i="28"/>
  <c r="T56" i="28"/>
  <c r="T52" i="28"/>
  <c r="T41" i="28"/>
  <c r="T40" i="28"/>
  <c r="T39" i="28"/>
  <c r="T38" i="28"/>
  <c r="T37" i="28"/>
  <c r="T36" i="28"/>
  <c r="T35" i="28"/>
  <c r="T33" i="28"/>
  <c r="T30" i="28"/>
  <c r="T29" i="28"/>
  <c r="T27" i="28"/>
  <c r="T24" i="28"/>
  <c r="T23" i="28"/>
  <c r="T22" i="28"/>
  <c r="Q71" i="28"/>
  <c r="Q56" i="28"/>
  <c r="Q55" i="28"/>
  <c r="Q52" i="28"/>
  <c r="Q46" i="28"/>
  <c r="Q45" i="28"/>
  <c r="Q44" i="28"/>
  <c r="Q41" i="28"/>
  <c r="Q40" i="28"/>
  <c r="Q39" i="28"/>
  <c r="Q38" i="28"/>
  <c r="Q37" i="28"/>
  <c r="Q36" i="28"/>
  <c r="Q35" i="28"/>
  <c r="Q32" i="28"/>
  <c r="Q31" i="28"/>
  <c r="Q30" i="28"/>
  <c r="Q29" i="28"/>
  <c r="Q28" i="28"/>
  <c r="Q27" i="28"/>
  <c r="Q24" i="28"/>
  <c r="Q23" i="28"/>
  <c r="Q22" i="28"/>
  <c r="Q21" i="28"/>
  <c r="Q20" i="28"/>
  <c r="Q19" i="28"/>
  <c r="Q18" i="28"/>
  <c r="Q17" i="28"/>
  <c r="Q10" i="28"/>
  <c r="Q9" i="28"/>
  <c r="Q8" i="28"/>
  <c r="N47" i="28"/>
  <c r="N46" i="28"/>
  <c r="N31" i="28"/>
  <c r="H56" i="28"/>
  <c r="K46" i="28"/>
  <c r="K45" i="28"/>
  <c r="K44" i="28"/>
  <c r="K41" i="28"/>
  <c r="K40" i="28"/>
  <c r="K39" i="28"/>
  <c r="K37" i="28"/>
  <c r="K36" i="28"/>
  <c r="K31" i="28"/>
  <c r="K30" i="28"/>
  <c r="K29" i="28"/>
  <c r="K28" i="28"/>
  <c r="K27" i="28"/>
  <c r="K23" i="28"/>
  <c r="K22" i="28"/>
  <c r="K20" i="28"/>
  <c r="K18" i="28"/>
  <c r="K17" i="28"/>
  <c r="H72" i="28"/>
  <c r="H71" i="28"/>
  <c r="H46" i="28"/>
  <c r="H45" i="28"/>
  <c r="H44" i="28"/>
  <c r="H43" i="28"/>
  <c r="H41" i="28"/>
  <c r="H40" i="28"/>
  <c r="H39" i="28"/>
  <c r="H37" i="28"/>
  <c r="H36" i="28"/>
  <c r="H35" i="28"/>
  <c r="H32" i="28"/>
  <c r="H31" i="28"/>
  <c r="H30" i="28"/>
  <c r="H29" i="28"/>
  <c r="H28" i="28"/>
  <c r="H27" i="28"/>
  <c r="H23" i="28"/>
  <c r="H22" i="28"/>
  <c r="H21" i="28"/>
  <c r="H20" i="28"/>
  <c r="H19" i="28"/>
  <c r="H12" i="28"/>
  <c r="H11" i="28"/>
  <c r="H10" i="28"/>
  <c r="H9" i="28"/>
  <c r="H8" i="28"/>
  <c r="H17" i="28"/>
  <c r="K17" i="89"/>
  <c r="K18" i="89"/>
  <c r="K19" i="89" s="1"/>
  <c r="K20" i="89" s="1"/>
  <c r="K21" i="89" s="1"/>
  <c r="K22" i="89" s="1"/>
  <c r="K23" i="89" s="1"/>
  <c r="K24" i="89" s="1"/>
  <c r="K25" i="89" s="1"/>
  <c r="K26" i="89" s="1"/>
  <c r="K27" i="89" s="1"/>
  <c r="L17" i="89"/>
  <c r="L18" i="89"/>
  <c r="L19" i="89" s="1"/>
  <c r="L20" i="89" s="1"/>
  <c r="L21" i="89" s="1"/>
  <c r="L22" i="89" s="1"/>
  <c r="L23" i="89" s="1"/>
  <c r="L24" i="89" s="1"/>
  <c r="L25" i="89" s="1"/>
  <c r="L26" i="89" s="1"/>
  <c r="L27" i="89" s="1"/>
  <c r="M17" i="89"/>
  <c r="M18" i="89"/>
  <c r="M19" i="89" s="1"/>
  <c r="M20" i="89" s="1"/>
  <c r="M21" i="89" s="1"/>
  <c r="M22" i="89" s="1"/>
  <c r="M23" i="89" s="1"/>
  <c r="M24" i="89" s="1"/>
  <c r="M25" i="89" s="1"/>
  <c r="M26" i="89" s="1"/>
  <c r="M27" i="89" s="1"/>
  <c r="D55" i="97"/>
  <c r="D54" i="97"/>
  <c r="D53" i="97"/>
  <c r="D52" i="97"/>
  <c r="D51" i="97"/>
  <c r="D50" i="97"/>
  <c r="D49" i="97"/>
  <c r="D48" i="97"/>
  <c r="D47" i="97"/>
  <c r="D46" i="97"/>
  <c r="D45" i="97"/>
  <c r="D44" i="97"/>
  <c r="D43" i="97"/>
  <c r="D42" i="97"/>
  <c r="D41" i="97"/>
  <c r="D40" i="97"/>
  <c r="D39" i="97"/>
  <c r="D38" i="97"/>
  <c r="D37" i="97"/>
  <c r="D36" i="97"/>
  <c r="D35" i="97"/>
  <c r="D34" i="97"/>
  <c r="D33" i="97"/>
  <c r="D32" i="97"/>
  <c r="D31" i="97"/>
  <c r="D30" i="97"/>
  <c r="D29" i="97"/>
  <c r="D28" i="97"/>
  <c r="D27" i="97"/>
  <c r="D26" i="97"/>
  <c r="D25" i="97"/>
  <c r="D24" i="97"/>
  <c r="D23" i="97"/>
  <c r="D22" i="97"/>
  <c r="D21" i="97"/>
  <c r="D20" i="97"/>
  <c r="D19" i="97"/>
  <c r="K17" i="63"/>
  <c r="K18" i="63"/>
  <c r="K19" i="63" s="1"/>
  <c r="K20" i="63" s="1"/>
  <c r="K21" i="63" s="1"/>
  <c r="K22" i="63" s="1"/>
  <c r="K23" i="63" s="1"/>
  <c r="K24" i="63" s="1"/>
  <c r="K25" i="63" s="1"/>
  <c r="K26" i="63" s="1"/>
  <c r="K27" i="63" s="1"/>
  <c r="L17" i="63"/>
  <c r="L18" i="63"/>
  <c r="L19" i="63" s="1"/>
  <c r="L20" i="63" s="1"/>
  <c r="L21" i="63" s="1"/>
  <c r="L22" i="63" s="1"/>
  <c r="L23" i="63" s="1"/>
  <c r="L24" i="63" s="1"/>
  <c r="L25" i="63" s="1"/>
  <c r="L26" i="63" s="1"/>
  <c r="L27" i="63" s="1"/>
  <c r="M17" i="63"/>
  <c r="M18" i="63"/>
  <c r="M19" i="63" s="1"/>
  <c r="M20" i="63" s="1"/>
  <c r="M21" i="63" s="1"/>
  <c r="M22" i="63" s="1"/>
  <c r="M23" i="63" s="1"/>
  <c r="M24" i="63" s="1"/>
  <c r="M25" i="63" s="1"/>
  <c r="M26" i="63" s="1"/>
  <c r="M27" i="63" s="1"/>
  <c r="D18" i="97"/>
  <c r="D17" i="97"/>
  <c r="D16" i="97"/>
  <c r="K17" i="2"/>
  <c r="K18" i="2" s="1"/>
  <c r="K19" i="2" s="1"/>
  <c r="K20" i="2" s="1"/>
  <c r="K21" i="2"/>
  <c r="K22" i="2" s="1"/>
  <c r="K23" i="2" s="1"/>
  <c r="K24" i="2" s="1"/>
  <c r="K25" i="2" s="1"/>
  <c r="K26" i="2" s="1"/>
  <c r="K27" i="2" s="1"/>
  <c r="L17" i="2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M17" i="2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D15" i="97"/>
  <c r="D14" i="97"/>
  <c r="C51" i="97"/>
  <c r="C33" i="97"/>
  <c r="C27" i="97"/>
  <c r="C63" i="97"/>
  <c r="C62" i="97"/>
  <c r="C58" i="97"/>
  <c r="C57" i="97"/>
  <c r="E65" i="97"/>
  <c r="E64" i="97"/>
  <c r="F64" i="97" s="1"/>
  <c r="F65" i="97"/>
  <c r="E67" i="97"/>
  <c r="E66" i="97"/>
  <c r="E63" i="97"/>
  <c r="F63" i="97" s="1"/>
  <c r="E62" i="97"/>
  <c r="E61" i="97"/>
  <c r="E60" i="97"/>
  <c r="E59" i="97"/>
  <c r="E58" i="97"/>
  <c r="E55" i="97"/>
  <c r="E54" i="97"/>
  <c r="E53" i="97"/>
  <c r="F53" i="97" s="1"/>
  <c r="E50" i="97"/>
  <c r="E49" i="97"/>
  <c r="E48" i="97"/>
  <c r="E47" i="97"/>
  <c r="F47" i="97" s="1"/>
  <c r="E46" i="97"/>
  <c r="E45" i="97"/>
  <c r="E44" i="97"/>
  <c r="E43" i="97"/>
  <c r="F43" i="97" s="1"/>
  <c r="E42" i="97"/>
  <c r="E41" i="97"/>
  <c r="E40" i="97"/>
  <c r="E39" i="97"/>
  <c r="F39" i="97" s="1"/>
  <c r="E38" i="97"/>
  <c r="E37" i="97"/>
  <c r="E36" i="97"/>
  <c r="E35" i="97"/>
  <c r="G35" i="97" s="1"/>
  <c r="E34" i="97"/>
  <c r="E33" i="97"/>
  <c r="E32" i="97"/>
  <c r="E31" i="97"/>
  <c r="G31" i="97" s="1"/>
  <c r="E30" i="97"/>
  <c r="E29" i="97"/>
  <c r="E28" i="97"/>
  <c r="E27" i="97"/>
  <c r="G27" i="97" s="1"/>
  <c r="E26" i="97"/>
  <c r="E25" i="97"/>
  <c r="E24" i="97"/>
  <c r="E23" i="97"/>
  <c r="G23" i="97" s="1"/>
  <c r="E22" i="97"/>
  <c r="E21" i="97"/>
  <c r="E20" i="97"/>
  <c r="E19" i="97"/>
  <c r="G19" i="97" s="1"/>
  <c r="E18" i="97"/>
  <c r="E17" i="97"/>
  <c r="E16" i="97"/>
  <c r="E15" i="97"/>
  <c r="E14" i="97"/>
  <c r="E12" i="97"/>
  <c r="E11" i="97"/>
  <c r="E10" i="97"/>
  <c r="E9" i="97"/>
  <c r="E8" i="97"/>
  <c r="E7" i="97"/>
  <c r="C36" i="95"/>
  <c r="F36" i="95" s="1"/>
  <c r="C35" i="95"/>
  <c r="C28" i="95"/>
  <c r="C25" i="95"/>
  <c r="C11" i="95"/>
  <c r="F11" i="95" s="1"/>
  <c r="F17" i="44"/>
  <c r="F18" i="44"/>
  <c r="F19" i="44" s="1"/>
  <c r="F20" i="44" s="1"/>
  <c r="F21" i="44" s="1"/>
  <c r="F22" i="44" s="1"/>
  <c r="F23" i="44" s="1"/>
  <c r="F24" i="44" s="1"/>
  <c r="F25" i="44" s="1"/>
  <c r="F26" i="44" s="1"/>
  <c r="E38" i="95"/>
  <c r="F38" i="95" s="1"/>
  <c r="E49" i="95"/>
  <c r="E48" i="95"/>
  <c r="E45" i="95"/>
  <c r="E44" i="95"/>
  <c r="E43" i="95"/>
  <c r="E41" i="95"/>
  <c r="E40" i="95"/>
  <c r="E39" i="95"/>
  <c r="E37" i="95"/>
  <c r="E36" i="95"/>
  <c r="E35" i="95"/>
  <c r="E34" i="95"/>
  <c r="F34" i="95" s="1"/>
  <c r="E33" i="95"/>
  <c r="E32" i="95"/>
  <c r="E30" i="95"/>
  <c r="E29" i="95"/>
  <c r="F29" i="95" s="1"/>
  <c r="E28" i="95"/>
  <c r="E26" i="95"/>
  <c r="E25" i="95"/>
  <c r="E24" i="95"/>
  <c r="F24" i="95" s="1"/>
  <c r="E23" i="95"/>
  <c r="E22" i="95"/>
  <c r="E21" i="95"/>
  <c r="E19" i="95"/>
  <c r="F19" i="95" s="1"/>
  <c r="E18" i="95"/>
  <c r="E17" i="95"/>
  <c r="E16" i="95"/>
  <c r="E15" i="95"/>
  <c r="F15" i="95" s="1"/>
  <c r="E14" i="95"/>
  <c r="E13" i="95"/>
  <c r="E11" i="95"/>
  <c r="E10" i="95"/>
  <c r="E9" i="95"/>
  <c r="E8" i="95"/>
  <c r="E7" i="95"/>
  <c r="E6" i="95"/>
  <c r="F17" i="42"/>
  <c r="F18" i="42"/>
  <c r="F19" i="42" s="1"/>
  <c r="F20" i="42"/>
  <c r="F21" i="42" s="1"/>
  <c r="F22" i="42" s="1"/>
  <c r="F23" i="42" s="1"/>
  <c r="F24" i="42" s="1"/>
  <c r="F25" i="42" s="1"/>
  <c r="F26" i="42" s="1"/>
  <c r="H17" i="2"/>
  <c r="H18" i="2"/>
  <c r="H19" i="2" s="1"/>
  <c r="H20" i="2" s="1"/>
  <c r="H21" i="2" s="1"/>
  <c r="H22" i="2" s="1"/>
  <c r="H23" i="2" s="1"/>
  <c r="H24" i="2" s="1"/>
  <c r="H25" i="2" s="1"/>
  <c r="H26" i="2" s="1"/>
  <c r="H27" i="2" s="1"/>
  <c r="H17" i="63"/>
  <c r="H18" i="63"/>
  <c r="H19" i="63" s="1"/>
  <c r="H20" i="63" s="1"/>
  <c r="H21" i="63" s="1"/>
  <c r="H22" i="63" s="1"/>
  <c r="H23" i="63" s="1"/>
  <c r="H24" i="63" s="1"/>
  <c r="H25" i="63" s="1"/>
  <c r="H26" i="63" s="1"/>
  <c r="H27" i="63" s="1"/>
  <c r="H17" i="49"/>
  <c r="H18" i="49"/>
  <c r="H19" i="49" s="1"/>
  <c r="H20" i="49" s="1"/>
  <c r="H21" i="49" s="1"/>
  <c r="H22" i="49" s="1"/>
  <c r="H23" i="49" s="1"/>
  <c r="H24" i="49" s="1"/>
  <c r="H25" i="49" s="1"/>
  <c r="H26" i="49" s="1"/>
  <c r="H27" i="49" s="1"/>
  <c r="H17" i="68"/>
  <c r="H18" i="68"/>
  <c r="H19" i="68" s="1"/>
  <c r="H20" i="68" s="1"/>
  <c r="H21" i="68" s="1"/>
  <c r="H22" i="68" s="1"/>
  <c r="H23" i="68" s="1"/>
  <c r="H24" i="68" s="1"/>
  <c r="H25" i="68" s="1"/>
  <c r="H26" i="68" s="1"/>
  <c r="H27" i="68" s="1"/>
  <c r="E50" i="94"/>
  <c r="D28" i="94"/>
  <c r="E29" i="94"/>
  <c r="E24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H30" i="94" s="1"/>
  <c r="C29" i="94"/>
  <c r="C28" i="94"/>
  <c r="C27" i="94"/>
  <c r="C26" i="94"/>
  <c r="C24" i="94"/>
  <c r="C23" i="94"/>
  <c r="C22" i="94"/>
  <c r="H22" i="94" s="1"/>
  <c r="C21" i="94"/>
  <c r="C20" i="94"/>
  <c r="C19" i="94"/>
  <c r="C18" i="94"/>
  <c r="C17" i="94"/>
  <c r="C16" i="94"/>
  <c r="C14" i="94"/>
  <c r="H14" i="94" s="1"/>
  <c r="C13" i="94"/>
  <c r="C47" i="94"/>
  <c r="C46" i="94" s="1"/>
  <c r="C7" i="94"/>
  <c r="C11" i="94"/>
  <c r="C8" i="94"/>
  <c r="C9" i="94"/>
  <c r="C6" i="94" s="1"/>
  <c r="C10" i="94"/>
  <c r="B17" i="1"/>
  <c r="B18" i="1" s="1"/>
  <c r="B19" i="1" s="1"/>
  <c r="B20" i="1" s="1"/>
  <c r="B21" i="1" s="1"/>
  <c r="B22" i="1" s="1"/>
  <c r="B23" i="1" s="1"/>
  <c r="B24" i="1" s="1"/>
  <c r="B25" i="1" s="1"/>
  <c r="B26" i="1" s="1"/>
  <c r="B20" i="2"/>
  <c r="B21" i="2"/>
  <c r="B22" i="2" s="1"/>
  <c r="B23" i="2" s="1"/>
  <c r="B24" i="2" s="1"/>
  <c r="B25" i="2" s="1"/>
  <c r="B26" i="2" s="1"/>
  <c r="B17" i="20"/>
  <c r="B18" i="20"/>
  <c r="B19" i="20" s="1"/>
  <c r="B20" i="20" s="1"/>
  <c r="B21" i="20" s="1"/>
  <c r="B22" i="20" s="1"/>
  <c r="B23" i="20" s="1"/>
  <c r="B24" i="20" s="1"/>
  <c r="B25" i="20" s="1"/>
  <c r="B26" i="20" s="1"/>
  <c r="B17" i="62"/>
  <c r="B18" i="62" s="1"/>
  <c r="B19" i="62"/>
  <c r="B20" i="62" s="1"/>
  <c r="B21" i="62" s="1"/>
  <c r="B22" i="62" s="1"/>
  <c r="B23" i="62" s="1"/>
  <c r="B24" i="62" s="1"/>
  <c r="B25" i="62" s="1"/>
  <c r="B26" i="62" s="1"/>
  <c r="B17" i="63"/>
  <c r="B18" i="63"/>
  <c r="B19" i="63" s="1"/>
  <c r="B20" i="63" s="1"/>
  <c r="B21" i="63" s="1"/>
  <c r="B22" i="63" s="1"/>
  <c r="B23" i="63" s="1"/>
  <c r="B24" i="63" s="1"/>
  <c r="B25" i="63" s="1"/>
  <c r="B26" i="63" s="1"/>
  <c r="B17" i="66"/>
  <c r="B18" i="66"/>
  <c r="B19" i="66" s="1"/>
  <c r="B20" i="66" s="1"/>
  <c r="B21" i="66" s="1"/>
  <c r="B22" i="66" s="1"/>
  <c r="B23" i="66" s="1"/>
  <c r="B24" i="66" s="1"/>
  <c r="B25" i="66" s="1"/>
  <c r="B26" i="66" s="1"/>
  <c r="B17" i="3"/>
  <c r="B18" i="3" s="1"/>
  <c r="B19" i="3" s="1"/>
  <c r="B20" i="3" s="1"/>
  <c r="B21" i="3" s="1"/>
  <c r="B22" i="3" s="1"/>
  <c r="B23" i="3" s="1"/>
  <c r="B24" i="3" s="1"/>
  <c r="B25" i="3" s="1"/>
  <c r="B26" i="3" s="1"/>
  <c r="B17" i="44"/>
  <c r="B18" i="44"/>
  <c r="B19" i="44" s="1"/>
  <c r="B20" i="44" s="1"/>
  <c r="B21" i="44" s="1"/>
  <c r="B22" i="44" s="1"/>
  <c r="B23" i="44" s="1"/>
  <c r="B24" i="44" s="1"/>
  <c r="B25" i="44" s="1"/>
  <c r="B26" i="44" s="1"/>
  <c r="D24" i="94"/>
  <c r="D25" i="94"/>
  <c r="D26" i="94"/>
  <c r="D27" i="94"/>
  <c r="D29" i="94"/>
  <c r="L29" i="94" s="1"/>
  <c r="D30" i="94"/>
  <c r="D31" i="94"/>
  <c r="D32" i="94"/>
  <c r="B17" i="68"/>
  <c r="B18" i="68" s="1"/>
  <c r="B19" i="68" s="1"/>
  <c r="B20" i="68" s="1"/>
  <c r="B21" i="68" s="1"/>
  <c r="B22" i="68" s="1"/>
  <c r="B23" i="68" s="1"/>
  <c r="B24" i="68" s="1"/>
  <c r="B25" i="68" s="1"/>
  <c r="B26" i="68" s="1"/>
  <c r="D34" i="94"/>
  <c r="B17" i="70"/>
  <c r="B18" i="70" s="1"/>
  <c r="B19" i="70" s="1"/>
  <c r="B20" i="70" s="1"/>
  <c r="B21" i="70" s="1"/>
  <c r="B22" i="70" s="1"/>
  <c r="B23" i="70" s="1"/>
  <c r="B24" i="70" s="1"/>
  <c r="B25" i="70" s="1"/>
  <c r="B26" i="70" s="1"/>
  <c r="B17" i="71"/>
  <c r="B18" i="71" s="1"/>
  <c r="B19" i="71" s="1"/>
  <c r="B20" i="71" s="1"/>
  <c r="B21" i="71"/>
  <c r="B22" i="71" s="1"/>
  <c r="B23" i="71" s="1"/>
  <c r="B24" i="71" s="1"/>
  <c r="B25" i="71" s="1"/>
  <c r="B26" i="71" s="1"/>
  <c r="B20" i="72"/>
  <c r="B21" i="72"/>
  <c r="B22" i="72" s="1"/>
  <c r="B23" i="72" s="1"/>
  <c r="B24" i="72" s="1"/>
  <c r="B25" i="72"/>
  <c r="B26" i="72" s="1"/>
  <c r="D39" i="94"/>
  <c r="B17" i="8"/>
  <c r="B18" i="8" s="1"/>
  <c r="B19" i="8" s="1"/>
  <c r="B20" i="8" s="1"/>
  <c r="B21" i="8" s="1"/>
  <c r="B22" i="8" s="1"/>
  <c r="B23" i="8" s="1"/>
  <c r="B24" i="8" s="1"/>
  <c r="B25" i="8" s="1"/>
  <c r="B26" i="8" s="1"/>
  <c r="B17" i="74"/>
  <c r="B18" i="74"/>
  <c r="B19" i="74" s="1"/>
  <c r="B20" i="74" s="1"/>
  <c r="B21" i="74" s="1"/>
  <c r="B22" i="74" s="1"/>
  <c r="B23" i="74" s="1"/>
  <c r="B24" i="74" s="1"/>
  <c r="B25" i="74" s="1"/>
  <c r="B26" i="74" s="1"/>
  <c r="D42" i="94"/>
  <c r="D43" i="94"/>
  <c r="D44" i="94"/>
  <c r="D45" i="94"/>
  <c r="E7" i="94"/>
  <c r="E8" i="94"/>
  <c r="E9" i="94"/>
  <c r="E10" i="94"/>
  <c r="E11" i="94"/>
  <c r="E6" i="94"/>
  <c r="E13" i="94"/>
  <c r="E14" i="94"/>
  <c r="E15" i="94"/>
  <c r="E16" i="94"/>
  <c r="E17" i="94"/>
  <c r="E18" i="94"/>
  <c r="E19" i="94"/>
  <c r="E21" i="94"/>
  <c r="E22" i="94"/>
  <c r="E23" i="94"/>
  <c r="E25" i="94"/>
  <c r="E26" i="94"/>
  <c r="E28" i="94"/>
  <c r="E30" i="94"/>
  <c r="E32" i="94"/>
  <c r="E33" i="94"/>
  <c r="E34" i="94"/>
  <c r="E35" i="94"/>
  <c r="E36" i="94"/>
  <c r="E37" i="94"/>
  <c r="E38" i="94"/>
  <c r="E39" i="94"/>
  <c r="E40" i="94"/>
  <c r="E43" i="94"/>
  <c r="E44" i="94"/>
  <c r="E45" i="94"/>
  <c r="K17" i="88"/>
  <c r="K18" i="88" s="1"/>
  <c r="K19" i="88" s="1"/>
  <c r="K20" i="88" s="1"/>
  <c r="K21" i="88" s="1"/>
  <c r="K22" i="88" s="1"/>
  <c r="K23" i="88" s="1"/>
  <c r="K24" i="88" s="1"/>
  <c r="K25" i="88" s="1"/>
  <c r="K26" i="88" s="1"/>
  <c r="K27" i="88" s="1"/>
  <c r="G17" i="68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17" i="49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17" i="63"/>
  <c r="G18" i="63" s="1"/>
  <c r="G19" i="63"/>
  <c r="G20" i="63" s="1"/>
  <c r="G21" i="63" s="1"/>
  <c r="G22" i="63" s="1"/>
  <c r="G23" i="63" s="1"/>
  <c r="G24" i="63" s="1"/>
  <c r="G25" i="63" s="1"/>
  <c r="G26" i="63" s="1"/>
  <c r="G27" i="63" s="1"/>
  <c r="G17" i="2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C17" i="63"/>
  <c r="C18" i="63" s="1"/>
  <c r="C19" i="63" s="1"/>
  <c r="C20" i="63" s="1"/>
  <c r="C21" i="63" s="1"/>
  <c r="C22" i="63" s="1"/>
  <c r="C23" i="63" s="1"/>
  <c r="C24" i="63" s="1"/>
  <c r="C25" i="63" s="1"/>
  <c r="C26" i="63" s="1"/>
  <c r="C27" i="63" s="1"/>
  <c r="C17" i="2"/>
  <c r="C18" i="2" s="1"/>
  <c r="C19" i="2"/>
  <c r="C20" i="2" s="1"/>
  <c r="C21" i="2" s="1"/>
  <c r="C22" i="2" s="1"/>
  <c r="C23" i="2" s="1"/>
  <c r="C24" i="2" s="1"/>
  <c r="C25" i="2" s="1"/>
  <c r="C26" i="2" s="1"/>
  <c r="C27" i="2" s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E17" i="63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17" i="2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17" i="1"/>
  <c r="E18" i="1" s="1"/>
  <c r="E19" i="1"/>
  <c r="E20" i="1" s="1"/>
  <c r="E21" i="1" s="1"/>
  <c r="E22" i="1" s="1"/>
  <c r="E23" i="1" s="1"/>
  <c r="E24" i="1" s="1"/>
  <c r="E25" i="1" s="1"/>
  <c r="E26" i="1" s="1"/>
  <c r="E27" i="1" s="1"/>
  <c r="I17" i="49"/>
  <c r="I18" i="49" s="1"/>
  <c r="I19" i="49" s="1"/>
  <c r="I20" i="49" s="1"/>
  <c r="I21" i="49" s="1"/>
  <c r="I22" i="49" s="1"/>
  <c r="I23" i="49" s="1"/>
  <c r="I24" i="49" s="1"/>
  <c r="I25" i="49" s="1"/>
  <c r="I26" i="49" s="1"/>
  <c r="I27" i="49" s="1"/>
  <c r="I17" i="63"/>
  <c r="I18" i="63" s="1"/>
  <c r="I19" i="63" s="1"/>
  <c r="I20" i="63" s="1"/>
  <c r="I21" i="63" s="1"/>
  <c r="I22" i="63" s="1"/>
  <c r="I23" i="63" s="1"/>
  <c r="I24" i="63" s="1"/>
  <c r="I25" i="63" s="1"/>
  <c r="I26" i="63" s="1"/>
  <c r="I27" i="63" s="1"/>
  <c r="I17" i="2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17" i="1"/>
  <c r="I18" i="1" s="1"/>
  <c r="I19" i="1"/>
  <c r="I20" i="1" s="1"/>
  <c r="I21" i="1" s="1"/>
  <c r="I22" i="1" s="1"/>
  <c r="I23" i="1" s="1"/>
  <c r="I24" i="1" s="1"/>
  <c r="I25" i="1" s="1"/>
  <c r="I26" i="1" s="1"/>
  <c r="I27" i="1" s="1"/>
  <c r="M17" i="88"/>
  <c r="M18" i="88" s="1"/>
  <c r="M19" i="88" s="1"/>
  <c r="M20" i="88" s="1"/>
  <c r="M21" i="88" s="1"/>
  <c r="M22" i="88" s="1"/>
  <c r="M23" i="88" s="1"/>
  <c r="M24" i="88" s="1"/>
  <c r="M25" i="88" s="1"/>
  <c r="M26" i="88" s="1"/>
  <c r="M27" i="88" s="1"/>
  <c r="D17" i="2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L17" i="88"/>
  <c r="L18" i="88" s="1"/>
  <c r="L19" i="88" s="1"/>
  <c r="L20" i="88" s="1"/>
  <c r="L21" i="88" s="1"/>
  <c r="L22" i="88" s="1"/>
  <c r="L23" i="88" s="1"/>
  <c r="L24" i="88" s="1"/>
  <c r="L25" i="88" s="1"/>
  <c r="L26" i="88" s="1"/>
  <c r="L27" i="88" s="1"/>
  <c r="C17" i="57"/>
  <c r="C18" i="57" s="1"/>
  <c r="C19" i="57"/>
  <c r="C20" i="57" s="1"/>
  <c r="C21" i="57" s="1"/>
  <c r="C22" i="57" s="1"/>
  <c r="C23" i="57" s="1"/>
  <c r="C24" i="57" s="1"/>
  <c r="C25" i="57" s="1"/>
  <c r="C26" i="57" s="1"/>
  <c r="C27" i="57" s="1"/>
  <c r="C17" i="71"/>
  <c r="C18" i="71"/>
  <c r="C19" i="71" s="1"/>
  <c r="C20" i="71" s="1"/>
  <c r="C21" i="71" s="1"/>
  <c r="C22" i="71"/>
  <c r="C23" i="71" s="1"/>
  <c r="C24" i="71" s="1"/>
  <c r="C25" i="71" s="1"/>
  <c r="C26" i="71" s="1"/>
  <c r="C27" i="71" s="1"/>
  <c r="H17" i="42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K17" i="42"/>
  <c r="K18" i="42"/>
  <c r="K19" i="42" s="1"/>
  <c r="K20" i="42" s="1"/>
  <c r="K21" i="42" s="1"/>
  <c r="K22" i="42" s="1"/>
  <c r="K23" i="42" s="1"/>
  <c r="K24" i="42" s="1"/>
  <c r="K25" i="42" s="1"/>
  <c r="K26" i="42" s="1"/>
  <c r="K27" i="42" s="1"/>
  <c r="K17" i="71"/>
  <c r="K18" i="71" s="1"/>
  <c r="K19" i="71" s="1"/>
  <c r="K20" i="71" s="1"/>
  <c r="K21" i="71" s="1"/>
  <c r="K22" i="71" s="1"/>
  <c r="K23" i="71" s="1"/>
  <c r="K24" i="71" s="1"/>
  <c r="K25" i="71" s="1"/>
  <c r="K26" i="71" s="1"/>
  <c r="K27" i="71" s="1"/>
  <c r="K17" i="57"/>
  <c r="K18" i="57"/>
  <c r="K19" i="57" s="1"/>
  <c r="K20" i="57" s="1"/>
  <c r="K21" i="57" s="1"/>
  <c r="K22" i="57" s="1"/>
  <c r="K23" i="57" s="1"/>
  <c r="K24" i="57" s="1"/>
  <c r="K25" i="57" s="1"/>
  <c r="K26" i="57" s="1"/>
  <c r="K27" i="57" s="1"/>
  <c r="G17" i="57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M17" i="42"/>
  <c r="M18" i="42"/>
  <c r="M19" i="42" s="1"/>
  <c r="M20" i="42" s="1"/>
  <c r="M21" i="42" s="1"/>
  <c r="M22" i="42" s="1"/>
  <c r="M23" i="42" s="1"/>
  <c r="M24" i="42" s="1"/>
  <c r="M25" i="42" s="1"/>
  <c r="M26" i="42" s="1"/>
  <c r="M27" i="42" s="1"/>
  <c r="M17" i="72"/>
  <c r="M18" i="72" s="1"/>
  <c r="M19" i="72" s="1"/>
  <c r="M20" i="72" s="1"/>
  <c r="M21" i="72" s="1"/>
  <c r="M22" i="72" s="1"/>
  <c r="M23" i="72" s="1"/>
  <c r="M24" i="72" s="1"/>
  <c r="M25" i="72" s="1"/>
  <c r="M26" i="72" s="1"/>
  <c r="M27" i="72" s="1"/>
  <c r="M17" i="71"/>
  <c r="M18" i="71"/>
  <c r="M19" i="71" s="1"/>
  <c r="M20" i="71" s="1"/>
  <c r="M21" i="71" s="1"/>
  <c r="M22" i="71" s="1"/>
  <c r="M23" i="71" s="1"/>
  <c r="M24" i="71" s="1"/>
  <c r="M25" i="71" s="1"/>
  <c r="M26" i="71" s="1"/>
  <c r="M27" i="71" s="1"/>
  <c r="M17" i="57"/>
  <c r="M18" i="57" s="1"/>
  <c r="M19" i="57" s="1"/>
  <c r="M20" i="57" s="1"/>
  <c r="M21" i="57"/>
  <c r="M22" i="57" s="1"/>
  <c r="M23" i="57" s="1"/>
  <c r="M24" i="57" s="1"/>
  <c r="M25" i="57" s="1"/>
  <c r="M26" i="57" s="1"/>
  <c r="M27" i="57" s="1"/>
  <c r="I17" i="57"/>
  <c r="I18" i="57"/>
  <c r="I19" i="57" s="1"/>
  <c r="I20" i="57"/>
  <c r="I21" i="57" s="1"/>
  <c r="I22" i="57" s="1"/>
  <c r="I23" i="57" s="1"/>
  <c r="I24" i="57" s="1"/>
  <c r="I25" i="57" s="1"/>
  <c r="I26" i="57" s="1"/>
  <c r="I27" i="57" s="1"/>
  <c r="I17" i="71"/>
  <c r="I18" i="71" s="1"/>
  <c r="I19" i="71" s="1"/>
  <c r="I20" i="71" s="1"/>
  <c r="I21" i="71" s="1"/>
  <c r="I22" i="71" s="1"/>
  <c r="I23" i="71" s="1"/>
  <c r="I24" i="71" s="1"/>
  <c r="I25" i="71" s="1"/>
  <c r="I26" i="71" s="1"/>
  <c r="I27" i="71" s="1"/>
  <c r="I17" i="42"/>
  <c r="I18" i="42"/>
  <c r="I19" i="42" s="1"/>
  <c r="I20" i="42" s="1"/>
  <c r="I21" i="42" s="1"/>
  <c r="I22" i="42" s="1"/>
  <c r="I23" i="42" s="1"/>
  <c r="I24" i="42" s="1"/>
  <c r="I25" i="42" s="1"/>
  <c r="I26" i="42" s="1"/>
  <c r="I27" i="42" s="1"/>
  <c r="E17" i="72"/>
  <c r="E18" i="72" s="1"/>
  <c r="E19" i="72" s="1"/>
  <c r="E20" i="72" s="1"/>
  <c r="E21" i="72" s="1"/>
  <c r="E22" i="72" s="1"/>
  <c r="E23" i="72" s="1"/>
  <c r="E24" i="72" s="1"/>
  <c r="E25" i="72" s="1"/>
  <c r="E26" i="72" s="1"/>
  <c r="E27" i="72" s="1"/>
  <c r="E17" i="71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17" i="57"/>
  <c r="E18" i="57" s="1"/>
  <c r="E19" i="57"/>
  <c r="E20" i="57" s="1"/>
  <c r="E21" i="57" s="1"/>
  <c r="E22" i="57" s="1"/>
  <c r="E23" i="57" s="1"/>
  <c r="E24" i="57" s="1"/>
  <c r="E25" i="57" s="1"/>
  <c r="E26" i="57" s="1"/>
  <c r="E27" i="57" s="1"/>
  <c r="H17" i="57"/>
  <c r="H18" i="57"/>
  <c r="H19" i="57" s="1"/>
  <c r="H20" i="57" s="1"/>
  <c r="H21" i="57" s="1"/>
  <c r="H22" i="57"/>
  <c r="H23" i="57" s="1"/>
  <c r="H24" i="57" s="1"/>
  <c r="H25" i="57" s="1"/>
  <c r="H26" i="57" s="1"/>
  <c r="H27" i="57" s="1"/>
  <c r="H17" i="7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D17" i="72"/>
  <c r="D18" i="72"/>
  <c r="D19" i="72" s="1"/>
  <c r="D20" i="72" s="1"/>
  <c r="D21" i="72" s="1"/>
  <c r="D22" i="72" s="1"/>
  <c r="D23" i="72" s="1"/>
  <c r="D24" i="72" s="1"/>
  <c r="D25" i="72" s="1"/>
  <c r="D26" i="72" s="1"/>
  <c r="D27" i="72" s="1"/>
  <c r="D17" i="71"/>
  <c r="D18" i="71" s="1"/>
  <c r="D19" i="71" s="1"/>
  <c r="D20" i="71" s="1"/>
  <c r="D21" i="71" s="1"/>
  <c r="D22" i="71" s="1"/>
  <c r="D23" i="71" s="1"/>
  <c r="D24" i="71" s="1"/>
  <c r="D25" i="71" s="1"/>
  <c r="D26" i="71" s="1"/>
  <c r="D27" i="71" s="1"/>
  <c r="D17" i="57"/>
  <c r="D18" i="57"/>
  <c r="D19" i="57" s="1"/>
  <c r="D20" i="57" s="1"/>
  <c r="D21" i="57" s="1"/>
  <c r="D22" i="57" s="1"/>
  <c r="D23" i="57" s="1"/>
  <c r="D24" i="57" s="1"/>
  <c r="D25" i="57" s="1"/>
  <c r="D26" i="57" s="1"/>
  <c r="D27" i="57" s="1"/>
  <c r="L17" i="57"/>
  <c r="L18" i="57" s="1"/>
  <c r="L19" i="57" s="1"/>
  <c r="L20" i="57" s="1"/>
  <c r="L21" i="57" s="1"/>
  <c r="L22" i="57" s="1"/>
  <c r="L23" i="57" s="1"/>
  <c r="L24" i="57" s="1"/>
  <c r="L25" i="57" s="1"/>
  <c r="L26" i="57" s="1"/>
  <c r="L27" i="57" s="1"/>
  <c r="L17" i="72"/>
  <c r="L18" i="72"/>
  <c r="L19" i="72" s="1"/>
  <c r="L20" i="72" s="1"/>
  <c r="L21" i="72" s="1"/>
  <c r="L22" i="72" s="1"/>
  <c r="L23" i="72" s="1"/>
  <c r="L24" i="72" s="1"/>
  <c r="L25" i="72" s="1"/>
  <c r="L26" i="72" s="1"/>
  <c r="L27" i="72" s="1"/>
  <c r="L17" i="71"/>
  <c r="L18" i="71" s="1"/>
  <c r="L19" i="71" s="1"/>
  <c r="L20" i="71" s="1"/>
  <c r="L21" i="71" s="1"/>
  <c r="L22" i="71" s="1"/>
  <c r="L23" i="71" s="1"/>
  <c r="L24" i="71" s="1"/>
  <c r="L25" i="71" s="1"/>
  <c r="L26" i="71" s="1"/>
  <c r="L27" i="71" s="1"/>
  <c r="L17" i="42"/>
  <c r="L18" i="42"/>
  <c r="L19" i="42" s="1"/>
  <c r="L20" i="42" s="1"/>
  <c r="L21" i="42" s="1"/>
  <c r="L22" i="42" s="1"/>
  <c r="L23" i="42" s="1"/>
  <c r="L24" i="42" s="1"/>
  <c r="L25" i="42" s="1"/>
  <c r="L26" i="42" s="1"/>
  <c r="L27" i="42" s="1"/>
  <c r="M16" i="89"/>
  <c r="K17" i="22"/>
  <c r="K18" i="22" s="1"/>
  <c r="K19" i="22" s="1"/>
  <c r="K20" i="22" s="1"/>
  <c r="K21" i="22" s="1"/>
  <c r="K22" i="22" s="1"/>
  <c r="K23" i="22" s="1"/>
  <c r="K24" i="22" s="1"/>
  <c r="K25" i="22" s="1"/>
  <c r="K26" i="22" s="1"/>
  <c r="K27" i="22" s="1"/>
  <c r="K17" i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G17" i="20"/>
  <c r="G18" i="20" s="1"/>
  <c r="G19" i="20"/>
  <c r="G20" i="20" s="1"/>
  <c r="G21" i="20" s="1"/>
  <c r="G22" i="20" s="1"/>
  <c r="G23" i="20" s="1"/>
  <c r="G24" i="20" s="1"/>
  <c r="G25" i="20" s="1"/>
  <c r="G26" i="20" s="1"/>
  <c r="G27" i="20" s="1"/>
  <c r="G17" i="70"/>
  <c r="G18" i="70" s="1"/>
  <c r="G19" i="70" s="1"/>
  <c r="G20" i="70" s="1"/>
  <c r="G21" i="70" s="1"/>
  <c r="G22" i="70" s="1"/>
  <c r="G23" i="70" s="1"/>
  <c r="G24" i="70" s="1"/>
  <c r="G25" i="70" s="1"/>
  <c r="G26" i="70" s="1"/>
  <c r="G27" i="70" s="1"/>
  <c r="C17" i="72"/>
  <c r="C18" i="72" s="1"/>
  <c r="C19" i="72" s="1"/>
  <c r="C20" i="72" s="1"/>
  <c r="C21" i="72" s="1"/>
  <c r="C22" i="72" s="1"/>
  <c r="C23" i="72" s="1"/>
  <c r="C24" i="72" s="1"/>
  <c r="C25" i="72" s="1"/>
  <c r="C26" i="72" s="1"/>
  <c r="C27" i="72" s="1"/>
  <c r="M17" i="22"/>
  <c r="M18" i="22" s="1"/>
  <c r="M19" i="22" s="1"/>
  <c r="M20" i="22" s="1"/>
  <c r="M21" i="22" s="1"/>
  <c r="M22" i="22" s="1"/>
  <c r="M23" i="22" s="1"/>
  <c r="M24" i="22" s="1"/>
  <c r="M25" i="22" s="1"/>
  <c r="M26" i="22" s="1"/>
  <c r="M27" i="22" s="1"/>
  <c r="M17" i="1"/>
  <c r="M18" i="1" s="1"/>
  <c r="M19" i="1"/>
  <c r="M20" i="1" s="1"/>
  <c r="M21" i="1" s="1"/>
  <c r="M22" i="1" s="1"/>
  <c r="M23" i="1" s="1"/>
  <c r="M24" i="1" s="1"/>
  <c r="M25" i="1" s="1"/>
  <c r="M26" i="1" s="1"/>
  <c r="M27" i="1" s="1"/>
  <c r="I17" i="20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17" i="70"/>
  <c r="I18" i="70" s="1"/>
  <c r="I19" i="70" s="1"/>
  <c r="I20" i="70" s="1"/>
  <c r="I21" i="70" s="1"/>
  <c r="I22" i="70" s="1"/>
  <c r="I23" i="70" s="1"/>
  <c r="I24" i="70" s="1"/>
  <c r="I25" i="70" s="1"/>
  <c r="I26" i="70" s="1"/>
  <c r="I27" i="70" s="1"/>
  <c r="L17" i="22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H17" i="70"/>
  <c r="H18" i="70" s="1"/>
  <c r="H19" i="70"/>
  <c r="H20" i="70" s="1"/>
  <c r="H21" i="70" s="1"/>
  <c r="H22" i="70" s="1"/>
  <c r="H23" i="70" s="1"/>
  <c r="H24" i="70" s="1"/>
  <c r="H25" i="70" s="1"/>
  <c r="H26" i="70" s="1"/>
  <c r="H27" i="70" s="1"/>
  <c r="H17" i="20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C17" i="68"/>
  <c r="C18" i="68" s="1"/>
  <c r="C19" i="68" s="1"/>
  <c r="C20" i="68" s="1"/>
  <c r="C21" i="68" s="1"/>
  <c r="C22" i="68" s="1"/>
  <c r="C23" i="68" s="1"/>
  <c r="C24" i="68" s="1"/>
  <c r="C25" i="68" s="1"/>
  <c r="C26" i="68" s="1"/>
  <c r="C27" i="68" s="1"/>
  <c r="C17" i="44"/>
  <c r="C18" i="44"/>
  <c r="C19" i="44" s="1"/>
  <c r="C20" i="44" s="1"/>
  <c r="C21" i="44" s="1"/>
  <c r="C22" i="44" s="1"/>
  <c r="C23" i="44" s="1"/>
  <c r="C24" i="44" s="1"/>
  <c r="C25" i="44" s="1"/>
  <c r="C26" i="44" s="1"/>
  <c r="C27" i="44" s="1"/>
  <c r="G17" i="44"/>
  <c r="G18" i="44" s="1"/>
  <c r="G19" i="44" s="1"/>
  <c r="G20" i="44" s="1"/>
  <c r="G21" i="44"/>
  <c r="G22" i="44" s="1"/>
  <c r="G23" i="44" s="1"/>
  <c r="G24" i="44" s="1"/>
  <c r="G25" i="44" s="1"/>
  <c r="G26" i="44" s="1"/>
  <c r="G27" i="44" s="1"/>
  <c r="G17" i="72"/>
  <c r="G18" i="72"/>
  <c r="G19" i="72" s="1"/>
  <c r="G20" i="72" s="1"/>
  <c r="G21" i="72" s="1"/>
  <c r="G22" i="72" s="1"/>
  <c r="G23" i="72" s="1"/>
  <c r="G24" i="72" s="1"/>
  <c r="G25" i="72" s="1"/>
  <c r="G26" i="72" s="1"/>
  <c r="G27" i="72" s="1"/>
  <c r="K17" i="92"/>
  <c r="K18" i="92" s="1"/>
  <c r="K19" i="92" s="1"/>
  <c r="K20" i="92" s="1"/>
  <c r="K21" i="92" s="1"/>
  <c r="K22" i="92" s="1"/>
  <c r="K23" i="92" s="1"/>
  <c r="K24" i="92" s="1"/>
  <c r="K25" i="92" s="1"/>
  <c r="K26" i="92" s="1"/>
  <c r="K27" i="92" s="1"/>
  <c r="K17" i="44"/>
  <c r="K18" i="44"/>
  <c r="K19" i="44" s="1"/>
  <c r="K20" i="44" s="1"/>
  <c r="K21" i="44" s="1"/>
  <c r="K22" i="44" s="1"/>
  <c r="K23" i="44" s="1"/>
  <c r="K24" i="44" s="1"/>
  <c r="K25" i="44" s="1"/>
  <c r="K26" i="44" s="1"/>
  <c r="K27" i="44" s="1"/>
  <c r="M17" i="92"/>
  <c r="M18" i="92" s="1"/>
  <c r="M19" i="92" s="1"/>
  <c r="M20" i="92" s="1"/>
  <c r="M21" i="92" s="1"/>
  <c r="M22" i="92" s="1"/>
  <c r="M23" i="92" s="1"/>
  <c r="M24" i="92" s="1"/>
  <c r="M25" i="92" s="1"/>
  <c r="M26" i="92" s="1"/>
  <c r="M27" i="92" s="1"/>
  <c r="M17" i="44"/>
  <c r="M18" i="44"/>
  <c r="M19" i="44" s="1"/>
  <c r="M20" i="44" s="1"/>
  <c r="M21" i="44" s="1"/>
  <c r="M22" i="44" s="1"/>
  <c r="M23" i="44" s="1"/>
  <c r="M24" i="44" s="1"/>
  <c r="M25" i="44" s="1"/>
  <c r="M26" i="44" s="1"/>
  <c r="M27" i="44" s="1"/>
  <c r="I17" i="44"/>
  <c r="I18" i="44" s="1"/>
  <c r="I19" i="44"/>
  <c r="I20" i="44" s="1"/>
  <c r="I21" i="44" s="1"/>
  <c r="I22" i="44" s="1"/>
  <c r="I23" i="44" s="1"/>
  <c r="I24" i="44" s="1"/>
  <c r="I25" i="44" s="1"/>
  <c r="I26" i="44" s="1"/>
  <c r="I27" i="44" s="1"/>
  <c r="I17" i="72"/>
  <c r="I18" i="72"/>
  <c r="I19" i="72" s="1"/>
  <c r="I20" i="72"/>
  <c r="I21" i="72" s="1"/>
  <c r="I22" i="72" s="1"/>
  <c r="I23" i="72" s="1"/>
  <c r="I24" i="72" s="1"/>
  <c r="I25" i="72" s="1"/>
  <c r="E17" i="68"/>
  <c r="E18" i="68" s="1"/>
  <c r="E19" i="68" s="1"/>
  <c r="E20" i="68" s="1"/>
  <c r="E21" i="68" s="1"/>
  <c r="E22" i="68" s="1"/>
  <c r="E23" i="68" s="1"/>
  <c r="E24" i="68" s="1"/>
  <c r="E25" i="68" s="1"/>
  <c r="E26" i="68" s="1"/>
  <c r="E27" i="68" s="1"/>
  <c r="E17" i="44"/>
  <c r="E18" i="44"/>
  <c r="E19" i="44" s="1"/>
  <c r="E20" i="44" s="1"/>
  <c r="E21" i="44" s="1"/>
  <c r="E22" i="44" s="1"/>
  <c r="E23" i="44" s="1"/>
  <c r="E24" i="44" s="1"/>
  <c r="E25" i="44" s="1"/>
  <c r="E26" i="44" s="1"/>
  <c r="E27" i="44" s="1"/>
  <c r="L17" i="92"/>
  <c r="L18" i="92" s="1"/>
  <c r="L19" i="92" s="1"/>
  <c r="L20" i="92" s="1"/>
  <c r="L21" i="92" s="1"/>
  <c r="L22" i="92" s="1"/>
  <c r="L23" i="92" s="1"/>
  <c r="L24" i="92" s="1"/>
  <c r="L25" i="92" s="1"/>
  <c r="L26" i="92" s="1"/>
  <c r="L27" i="92" s="1"/>
  <c r="L17" i="44"/>
  <c r="L18" i="44"/>
  <c r="L19" i="44" s="1"/>
  <c r="L20" i="44" s="1"/>
  <c r="L21" i="44" s="1"/>
  <c r="L22" i="44" s="1"/>
  <c r="L23" i="44" s="1"/>
  <c r="L24" i="44" s="1"/>
  <c r="L25" i="44" s="1"/>
  <c r="L26" i="44" s="1"/>
  <c r="L27" i="44" s="1"/>
  <c r="L17" i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H17" i="1"/>
  <c r="H18" i="1"/>
  <c r="H19" i="1" s="1"/>
  <c r="H20" i="1" s="1"/>
  <c r="H21" i="1" s="1"/>
  <c r="H22" i="1"/>
  <c r="H23" i="1" s="1"/>
  <c r="H24" i="1" s="1"/>
  <c r="H25" i="1" s="1"/>
  <c r="H26" i="1" s="1"/>
  <c r="H27" i="1" s="1"/>
  <c r="H17" i="44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17" i="72"/>
  <c r="H18" i="72"/>
  <c r="H19" i="72" s="1"/>
  <c r="H20" i="72" s="1"/>
  <c r="H21" i="72" s="1"/>
  <c r="H22" i="72" s="1"/>
  <c r="H23" i="72" s="1"/>
  <c r="H24" i="72" s="1"/>
  <c r="H25" i="72" s="1"/>
  <c r="H26" i="72" s="1"/>
  <c r="H27" i="72" s="1"/>
  <c r="D17" i="44"/>
  <c r="D18" i="44" s="1"/>
  <c r="D19" i="44" s="1"/>
  <c r="D20" i="44" s="1"/>
  <c r="D21" i="44"/>
  <c r="D22" i="44" s="1"/>
  <c r="D23" i="44" s="1"/>
  <c r="D24" i="44" s="1"/>
  <c r="D25" i="44" s="1"/>
  <c r="D26" i="44" s="1"/>
  <c r="D27" i="44" s="1"/>
  <c r="D17" i="1"/>
  <c r="D18" i="1"/>
  <c r="D19" i="1" s="1"/>
  <c r="D20" i="1" s="1"/>
  <c r="D21" i="1" s="1"/>
  <c r="D22" i="1" s="1"/>
  <c r="D23" i="1" s="1"/>
  <c r="D24" i="1" s="1"/>
  <c r="D25" i="1" s="1"/>
  <c r="D26" i="1" s="1"/>
  <c r="D27" i="1" s="1"/>
  <c r="I26" i="72"/>
  <c r="I27" i="72" s="1"/>
  <c r="G17" i="71"/>
  <c r="G18" i="71" s="1"/>
  <c r="G19" i="71" s="1"/>
  <c r="G20" i="71" s="1"/>
  <c r="G21" i="71" s="1"/>
  <c r="G22" i="71" s="1"/>
  <c r="G23" i="71" s="1"/>
  <c r="G24" i="71" s="1"/>
  <c r="G25" i="71" s="1"/>
  <c r="G26" i="71" s="1"/>
  <c r="G27" i="71" s="1"/>
  <c r="L17" i="80"/>
  <c r="L18" i="80" s="1"/>
  <c r="L19" i="80" s="1"/>
  <c r="L20" i="80" s="1"/>
  <c r="L21" i="80"/>
  <c r="L22" i="80" s="1"/>
  <c r="L23" i="80" s="1"/>
  <c r="L24" i="80" s="1"/>
  <c r="L25" i="80" s="1"/>
  <c r="L26" i="80" s="1"/>
  <c r="L27" i="80" s="1"/>
  <c r="K17" i="80"/>
  <c r="K18" i="80" s="1"/>
  <c r="K19" i="80" s="1"/>
  <c r="K20" i="80" s="1"/>
  <c r="K21" i="80" s="1"/>
  <c r="K22" i="80" s="1"/>
  <c r="K23" i="80" s="1"/>
  <c r="K24" i="80" s="1"/>
  <c r="K25" i="80" s="1"/>
  <c r="K26" i="80" s="1"/>
  <c r="K27" i="80" s="1"/>
  <c r="L16" i="66"/>
  <c r="H16" i="66"/>
  <c r="D16" i="66"/>
  <c r="L17" i="62"/>
  <c r="L18" i="62"/>
  <c r="L19" i="62" s="1"/>
  <c r="L20" i="62" s="1"/>
  <c r="L21" i="62" s="1"/>
  <c r="L22" i="62" s="1"/>
  <c r="L23" i="62" s="1"/>
  <c r="L24" i="62" s="1"/>
  <c r="L25" i="62" s="1"/>
  <c r="L26" i="62" s="1"/>
  <c r="L27" i="62" s="1"/>
  <c r="H17" i="62"/>
  <c r="H18" i="62"/>
  <c r="H19" i="62" s="1"/>
  <c r="H20" i="62" s="1"/>
  <c r="H21" i="62" s="1"/>
  <c r="H22" i="62" s="1"/>
  <c r="H23" i="62" s="1"/>
  <c r="H24" i="62" s="1"/>
  <c r="H25" i="62" s="1"/>
  <c r="H26" i="62" s="1"/>
  <c r="H27" i="62" s="1"/>
  <c r="D17" i="62"/>
  <c r="D18" i="62"/>
  <c r="D19" i="62" s="1"/>
  <c r="D20" i="62" s="1"/>
  <c r="D21" i="62" s="1"/>
  <c r="D22" i="62" s="1"/>
  <c r="D23" i="62" s="1"/>
  <c r="D24" i="62" s="1"/>
  <c r="D25" i="62" s="1"/>
  <c r="D26" i="62" s="1"/>
  <c r="D27" i="62" s="1"/>
  <c r="I16" i="72"/>
  <c r="L30" i="97"/>
  <c r="H30" i="97" s="1"/>
  <c r="M30" i="97"/>
  <c r="N30" i="97"/>
  <c r="J30" i="97" s="1"/>
  <c r="I30" i="97"/>
  <c r="D17" i="18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C17" i="18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D17" i="77"/>
  <c r="D18" i="77"/>
  <c r="D19" i="77" s="1"/>
  <c r="D20" i="77" s="1"/>
  <c r="D21" i="77" s="1"/>
  <c r="D22" i="77" s="1"/>
  <c r="D23" i="77" s="1"/>
  <c r="D24" i="77" s="1"/>
  <c r="D25" i="77" s="1"/>
  <c r="D26" i="77" s="1"/>
  <c r="D27" i="77" s="1"/>
  <c r="C17" i="77"/>
  <c r="C18" i="77"/>
  <c r="C19" i="77" s="1"/>
  <c r="C20" i="77" s="1"/>
  <c r="C21" i="77" s="1"/>
  <c r="C22" i="77" s="1"/>
  <c r="C23" i="77" s="1"/>
  <c r="C24" i="77" s="1"/>
  <c r="C25" i="77" s="1"/>
  <c r="C26" i="77" s="1"/>
  <c r="C27" i="77" s="1"/>
  <c r="E17" i="74"/>
  <c r="E18" i="74"/>
  <c r="E19" i="74" s="1"/>
  <c r="E20" i="74" s="1"/>
  <c r="E21" i="74" s="1"/>
  <c r="E22" i="74" s="1"/>
  <c r="E23" i="74" s="1"/>
  <c r="E24" i="74" s="1"/>
  <c r="E25" i="74" s="1"/>
  <c r="E26" i="74" s="1"/>
  <c r="E27" i="74" s="1"/>
  <c r="D17" i="74"/>
  <c r="D18" i="74"/>
  <c r="D19" i="74" s="1"/>
  <c r="D20" i="74" s="1"/>
  <c r="D21" i="74" s="1"/>
  <c r="D22" i="74" s="1"/>
  <c r="D23" i="74" s="1"/>
  <c r="D24" i="74" s="1"/>
  <c r="D25" i="74" s="1"/>
  <c r="D26" i="74" s="1"/>
  <c r="D27" i="74" s="1"/>
  <c r="C17" i="74"/>
  <c r="C18" i="74"/>
  <c r="C19" i="74" s="1"/>
  <c r="C20" i="74" s="1"/>
  <c r="C21" i="74" s="1"/>
  <c r="C22" i="74" s="1"/>
  <c r="C23" i="74" s="1"/>
  <c r="C24" i="74" s="1"/>
  <c r="C25" i="74" s="1"/>
  <c r="C26" i="74" s="1"/>
  <c r="C27" i="74" s="1"/>
  <c r="E17" i="8"/>
  <c r="E18" i="8"/>
  <c r="E19" i="8" s="1"/>
  <c r="E20" i="8" s="1"/>
  <c r="E21" i="8" s="1"/>
  <c r="E22" i="8" s="1"/>
  <c r="E23" i="8" s="1"/>
  <c r="E24" i="8" s="1"/>
  <c r="E25" i="8" s="1"/>
  <c r="E26" i="8" s="1"/>
  <c r="E27" i="8" s="1"/>
  <c r="D17" i="8"/>
  <c r="D18" i="8"/>
  <c r="D19" i="8" s="1"/>
  <c r="D20" i="8" s="1"/>
  <c r="D21" i="8" s="1"/>
  <c r="D22" i="8" s="1"/>
  <c r="D23" i="8" s="1"/>
  <c r="D24" i="8" s="1"/>
  <c r="D25" i="8" s="1"/>
  <c r="D26" i="8" s="1"/>
  <c r="D27" i="8" s="1"/>
  <c r="C17" i="8"/>
  <c r="C18" i="8"/>
  <c r="C19" i="8" s="1"/>
  <c r="C20" i="8" s="1"/>
  <c r="C21" i="8" s="1"/>
  <c r="C22" i="8" s="1"/>
  <c r="C23" i="8" s="1"/>
  <c r="C24" i="8" s="1"/>
  <c r="C25" i="8" s="1"/>
  <c r="C26" i="8" s="1"/>
  <c r="C27" i="8" s="1"/>
  <c r="D17" i="17"/>
  <c r="D18" i="17"/>
  <c r="D19" i="17" s="1"/>
  <c r="D20" i="17" s="1"/>
  <c r="D21" i="17" s="1"/>
  <c r="D22" i="17" s="1"/>
  <c r="D23" i="17" s="1"/>
  <c r="D24" i="17" s="1"/>
  <c r="D25" i="17" s="1"/>
  <c r="D26" i="17" s="1"/>
  <c r="D27" i="17" s="1"/>
  <c r="C17" i="17"/>
  <c r="C18" i="17"/>
  <c r="C19" i="17" s="1"/>
  <c r="C20" i="17" s="1"/>
  <c r="C21" i="17" s="1"/>
  <c r="C22" i="17" s="1"/>
  <c r="C23" i="17" s="1"/>
  <c r="C24" i="17" s="1"/>
  <c r="C25" i="17" s="1"/>
  <c r="C26" i="17" s="1"/>
  <c r="C27" i="17" s="1"/>
  <c r="E17" i="70"/>
  <c r="E18" i="70" s="1"/>
  <c r="E19" i="70" s="1"/>
  <c r="E20" i="70" s="1"/>
  <c r="E21" i="70" s="1"/>
  <c r="E22" i="70" s="1"/>
  <c r="E23" i="70" s="1"/>
  <c r="E24" i="70" s="1"/>
  <c r="E25" i="70" s="1"/>
  <c r="E26" i="70" s="1"/>
  <c r="E27" i="70" s="1"/>
  <c r="D17" i="70"/>
  <c r="D18" i="70" s="1"/>
  <c r="D19" i="70" s="1"/>
  <c r="D20" i="70" s="1"/>
  <c r="D21" i="70" s="1"/>
  <c r="D22" i="70" s="1"/>
  <c r="D23" i="70" s="1"/>
  <c r="D24" i="70" s="1"/>
  <c r="D25" i="70" s="1"/>
  <c r="D26" i="70" s="1"/>
  <c r="D27" i="70" s="1"/>
  <c r="C17" i="70"/>
  <c r="C18" i="70" s="1"/>
  <c r="C19" i="70" s="1"/>
  <c r="C20" i="70" s="1"/>
  <c r="C21" i="70" s="1"/>
  <c r="C22" i="70" s="1"/>
  <c r="C23" i="70" s="1"/>
  <c r="C24" i="70" s="1"/>
  <c r="C25" i="70" s="1"/>
  <c r="C26" i="70" s="1"/>
  <c r="C27" i="70" s="1"/>
  <c r="D17" i="68"/>
  <c r="D18" i="68"/>
  <c r="D19" i="68" s="1"/>
  <c r="D20" i="68" s="1"/>
  <c r="D21" i="68" s="1"/>
  <c r="D22" i="68" s="1"/>
  <c r="D23" i="68" s="1"/>
  <c r="D24" i="68" s="1"/>
  <c r="D25" i="68" s="1"/>
  <c r="D26" i="68" s="1"/>
  <c r="D27" i="68" s="1"/>
  <c r="E17" i="24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D17" i="24"/>
  <c r="D18" i="24" s="1"/>
  <c r="D19" i="24" s="1"/>
  <c r="D20" i="24" s="1"/>
  <c r="D21" i="24" s="1"/>
  <c r="D22" i="24" s="1"/>
  <c r="D23" i="24" s="1"/>
  <c r="D24" i="24" s="1"/>
  <c r="D25" i="24" s="1"/>
  <c r="D26" i="24" s="1"/>
  <c r="D27" i="24" s="1"/>
  <c r="C17" i="24"/>
  <c r="C18" i="24" s="1"/>
  <c r="C19" i="24"/>
  <c r="C20" i="24" s="1"/>
  <c r="C21" i="24" s="1"/>
  <c r="C22" i="24" s="1"/>
  <c r="C23" i="24" s="1"/>
  <c r="C24" i="24" s="1"/>
  <c r="C25" i="24" s="1"/>
  <c r="C26" i="24" s="1"/>
  <c r="C27" i="24" s="1"/>
  <c r="E17" i="3"/>
  <c r="E18" i="3"/>
  <c r="E19" i="3" s="1"/>
  <c r="E20" i="3" s="1"/>
  <c r="E21" i="3" s="1"/>
  <c r="E22" i="3" s="1"/>
  <c r="E23" i="3" s="1"/>
  <c r="E24" i="3" s="1"/>
  <c r="E25" i="3" s="1"/>
  <c r="E26" i="3" s="1"/>
  <c r="E27" i="3" s="1"/>
  <c r="D17" i="3"/>
  <c r="D18" i="3"/>
  <c r="D19" i="3" s="1"/>
  <c r="D20" i="3" s="1"/>
  <c r="D21" i="3" s="1"/>
  <c r="D22" i="3" s="1"/>
  <c r="D23" i="3" s="1"/>
  <c r="D24" i="3" s="1"/>
  <c r="D25" i="3" s="1"/>
  <c r="D26" i="3" s="1"/>
  <c r="D27" i="3" s="1"/>
  <c r="C17" i="3"/>
  <c r="C18" i="3"/>
  <c r="C19" i="3" s="1"/>
  <c r="C20" i="3" s="1"/>
  <c r="C21" i="3" s="1"/>
  <c r="C22" i="3" s="1"/>
  <c r="C23" i="3" s="1"/>
  <c r="C24" i="3" s="1"/>
  <c r="C25" i="3" s="1"/>
  <c r="C26" i="3" s="1"/>
  <c r="C27" i="3" s="1"/>
  <c r="E17" i="11"/>
  <c r="E18" i="11"/>
  <c r="E19" i="11" s="1"/>
  <c r="E20" i="11" s="1"/>
  <c r="E21" i="11" s="1"/>
  <c r="E22" i="11" s="1"/>
  <c r="E23" i="11" s="1"/>
  <c r="E24" i="11" s="1"/>
  <c r="E25" i="11" s="1"/>
  <c r="E26" i="11" s="1"/>
  <c r="E27" i="11" s="1"/>
  <c r="D17" i="11"/>
  <c r="D18" i="11"/>
  <c r="D19" i="11" s="1"/>
  <c r="D20" i="11" s="1"/>
  <c r="D21" i="11" s="1"/>
  <c r="D22" i="11" s="1"/>
  <c r="D23" i="11" s="1"/>
  <c r="D24" i="11" s="1"/>
  <c r="D25" i="11" s="1"/>
  <c r="D26" i="11" s="1"/>
  <c r="D27" i="11" s="1"/>
  <c r="C17" i="11"/>
  <c r="C18" i="11"/>
  <c r="C19" i="11" s="1"/>
  <c r="C20" i="11" s="1"/>
  <c r="C21" i="11" s="1"/>
  <c r="C22" i="11" s="1"/>
  <c r="C23" i="11" s="1"/>
  <c r="C24" i="11" s="1"/>
  <c r="C25" i="11" s="1"/>
  <c r="C26" i="11" s="1"/>
  <c r="C27" i="11" s="1"/>
  <c r="E17" i="66"/>
  <c r="E18" i="66"/>
  <c r="E19" i="66" s="1"/>
  <c r="E20" i="66" s="1"/>
  <c r="E21" i="66" s="1"/>
  <c r="E22" i="66" s="1"/>
  <c r="E23" i="66" s="1"/>
  <c r="E24" i="66" s="1"/>
  <c r="E25" i="66" s="1"/>
  <c r="E26" i="66" s="1"/>
  <c r="E27" i="66" s="1"/>
  <c r="D17" i="66"/>
  <c r="D18" i="66"/>
  <c r="D19" i="66" s="1"/>
  <c r="D20" i="66" s="1"/>
  <c r="D21" i="66" s="1"/>
  <c r="D22" i="66" s="1"/>
  <c r="D23" i="66" s="1"/>
  <c r="D24" i="66" s="1"/>
  <c r="D25" i="66" s="1"/>
  <c r="D26" i="66" s="1"/>
  <c r="D27" i="66" s="1"/>
  <c r="C17" i="66"/>
  <c r="C18" i="66"/>
  <c r="C19" i="66" s="1"/>
  <c r="C20" i="66" s="1"/>
  <c r="C21" i="66" s="1"/>
  <c r="C22" i="66" s="1"/>
  <c r="C23" i="66" s="1"/>
  <c r="C24" i="66" s="1"/>
  <c r="C25" i="66" s="1"/>
  <c r="C26" i="66" s="1"/>
  <c r="C27" i="66" s="1"/>
  <c r="D17" i="63"/>
  <c r="D18" i="63"/>
  <c r="D19" i="63" s="1"/>
  <c r="D20" i="63" s="1"/>
  <c r="D21" i="63" s="1"/>
  <c r="D22" i="63" s="1"/>
  <c r="D23" i="63" s="1"/>
  <c r="D24" i="63" s="1"/>
  <c r="D25" i="63" s="1"/>
  <c r="D26" i="63" s="1"/>
  <c r="D27" i="63" s="1"/>
  <c r="E17" i="62"/>
  <c r="E18" i="62"/>
  <c r="E19" i="62" s="1"/>
  <c r="E20" i="62" s="1"/>
  <c r="E21" i="62" s="1"/>
  <c r="E22" i="62" s="1"/>
  <c r="E23" i="62" s="1"/>
  <c r="E24" i="62" s="1"/>
  <c r="E25" i="62" s="1"/>
  <c r="E26" i="62" s="1"/>
  <c r="E27" i="62" s="1"/>
  <c r="C17" i="62"/>
  <c r="C18" i="62"/>
  <c r="C19" i="62" s="1"/>
  <c r="C20" i="62" s="1"/>
  <c r="C21" i="62" s="1"/>
  <c r="C22" i="62" s="1"/>
  <c r="C23" i="62" s="1"/>
  <c r="C24" i="62" s="1"/>
  <c r="C25" i="62" s="1"/>
  <c r="C26" i="62" s="1"/>
  <c r="C27" i="62" s="1"/>
  <c r="E17" i="20"/>
  <c r="E18" i="20"/>
  <c r="E19" i="20" s="1"/>
  <c r="E20" i="20" s="1"/>
  <c r="E21" i="20" s="1"/>
  <c r="E22" i="20" s="1"/>
  <c r="E23" i="20" s="1"/>
  <c r="E24" i="20" s="1"/>
  <c r="E25" i="20" s="1"/>
  <c r="E26" i="20" s="1"/>
  <c r="E27" i="20" s="1"/>
  <c r="D17" i="20"/>
  <c r="D18" i="20"/>
  <c r="D19" i="20" s="1"/>
  <c r="D20" i="20" s="1"/>
  <c r="D21" i="20" s="1"/>
  <c r="D22" i="20" s="1"/>
  <c r="D23" i="20" s="1"/>
  <c r="D24" i="20" s="1"/>
  <c r="D25" i="20" s="1"/>
  <c r="D26" i="20" s="1"/>
  <c r="D27" i="20" s="1"/>
  <c r="C17" i="20"/>
  <c r="C18" i="20"/>
  <c r="C19" i="20" s="1"/>
  <c r="C20" i="20" s="1"/>
  <c r="C21" i="20" s="1"/>
  <c r="C22" i="20" s="1"/>
  <c r="C23" i="20" s="1"/>
  <c r="C24" i="20" s="1"/>
  <c r="C25" i="20" s="1"/>
  <c r="C26" i="20" s="1"/>
  <c r="C27" i="20" s="1"/>
  <c r="D17" i="49"/>
  <c r="D18" i="49" s="1"/>
  <c r="D19" i="49" s="1"/>
  <c r="D20" i="49" s="1"/>
  <c r="D21" i="49" s="1"/>
  <c r="D22" i="49" s="1"/>
  <c r="D23" i="49" s="1"/>
  <c r="D24" i="49" s="1"/>
  <c r="D25" i="49" s="1"/>
  <c r="D26" i="49" s="1"/>
  <c r="D27" i="49" s="1"/>
  <c r="C17" i="49"/>
  <c r="C18" i="49" s="1"/>
  <c r="C19" i="49" s="1"/>
  <c r="C20" i="49" s="1"/>
  <c r="C21" i="49" s="1"/>
  <c r="C22" i="49" s="1"/>
  <c r="C23" i="49" s="1"/>
  <c r="C24" i="49" s="1"/>
  <c r="C25" i="49" s="1"/>
  <c r="C26" i="49" s="1"/>
  <c r="C27" i="49" s="1"/>
  <c r="D17" i="42"/>
  <c r="D18" i="42" s="1"/>
  <c r="D19" i="42" s="1"/>
  <c r="D20" i="42" s="1"/>
  <c r="D21" i="42" s="1"/>
  <c r="D22" i="42" s="1"/>
  <c r="D23" i="42" s="1"/>
  <c r="D24" i="42" s="1"/>
  <c r="D25" i="42" s="1"/>
  <c r="D26" i="42" s="1"/>
  <c r="D27" i="42" s="1"/>
  <c r="C17" i="42"/>
  <c r="C18" i="42" s="1"/>
  <c r="C19" i="42" s="1"/>
  <c r="C20" i="42" s="1"/>
  <c r="C21" i="42"/>
  <c r="C22" i="42" s="1"/>
  <c r="C23" i="42" s="1"/>
  <c r="C24" i="42" s="1"/>
  <c r="C25" i="42" s="1"/>
  <c r="C26" i="42" s="1"/>
  <c r="C27" i="42" s="1"/>
  <c r="D17" i="92"/>
  <c r="D18" i="92" s="1"/>
  <c r="D19" i="92" s="1"/>
  <c r="D20" i="92" s="1"/>
  <c r="D21" i="92" s="1"/>
  <c r="D22" i="92" s="1"/>
  <c r="D23" i="92" s="1"/>
  <c r="D24" i="92" s="1"/>
  <c r="D25" i="92" s="1"/>
  <c r="D26" i="92" s="1"/>
  <c r="D27" i="92" s="1"/>
  <c r="C17" i="92"/>
  <c r="C18" i="92" s="1"/>
  <c r="C19" i="92" s="1"/>
  <c r="C20" i="92" s="1"/>
  <c r="C21" i="92" s="1"/>
  <c r="C22" i="92" s="1"/>
  <c r="C23" i="92" s="1"/>
  <c r="C24" i="92" s="1"/>
  <c r="C25" i="92" s="1"/>
  <c r="C26" i="92" s="1"/>
  <c r="C27" i="92" s="1"/>
  <c r="D17" i="75"/>
  <c r="D18" i="75" s="1"/>
  <c r="D19" i="75" s="1"/>
  <c r="D20" i="75" s="1"/>
  <c r="D21" i="75" s="1"/>
  <c r="D22" i="75" s="1"/>
  <c r="D23" i="75" s="1"/>
  <c r="D24" i="75" s="1"/>
  <c r="D25" i="75" s="1"/>
  <c r="D26" i="75" s="1"/>
  <c r="D27" i="75" s="1"/>
  <c r="C17" i="75"/>
  <c r="C18" i="75" s="1"/>
  <c r="C19" i="75" s="1"/>
  <c r="C20" i="75" s="1"/>
  <c r="C21" i="75"/>
  <c r="C22" i="75" s="1"/>
  <c r="C23" i="75" s="1"/>
  <c r="C24" i="75" s="1"/>
  <c r="C25" i="75" s="1"/>
  <c r="C26" i="75" s="1"/>
  <c r="C27" i="75" s="1"/>
  <c r="D17" i="80"/>
  <c r="D18" i="80" s="1"/>
  <c r="D19" i="80" s="1"/>
  <c r="D20" i="80" s="1"/>
  <c r="D21" i="80" s="1"/>
  <c r="D22" i="80" s="1"/>
  <c r="D23" i="80" s="1"/>
  <c r="D24" i="80" s="1"/>
  <c r="D25" i="80" s="1"/>
  <c r="D26" i="80" s="1"/>
  <c r="D27" i="80" s="1"/>
  <c r="C17" i="80"/>
  <c r="C18" i="80" s="1"/>
  <c r="C19" i="80" s="1"/>
  <c r="C20" i="80" s="1"/>
  <c r="C21" i="80" s="1"/>
  <c r="C22" i="80" s="1"/>
  <c r="C23" i="80" s="1"/>
  <c r="C24" i="80" s="1"/>
  <c r="C25" i="80" s="1"/>
  <c r="C26" i="80" s="1"/>
  <c r="C27" i="80" s="1"/>
  <c r="E17" i="85"/>
  <c r="E18" i="85" s="1"/>
  <c r="E19" i="85" s="1"/>
  <c r="E20" i="85" s="1"/>
  <c r="E21" i="85" s="1"/>
  <c r="E22" i="85" s="1"/>
  <c r="E23" i="85" s="1"/>
  <c r="E24" i="85" s="1"/>
  <c r="E25" i="85" s="1"/>
  <c r="E26" i="85" s="1"/>
  <c r="E27" i="85" s="1"/>
  <c r="D17" i="85"/>
  <c r="D18" i="85" s="1"/>
  <c r="D19" i="85" s="1"/>
  <c r="D20" i="85" s="1"/>
  <c r="D21" i="85"/>
  <c r="D22" i="85" s="1"/>
  <c r="D23" i="85" s="1"/>
  <c r="D24" i="85" s="1"/>
  <c r="D25" i="85" s="1"/>
  <c r="D26" i="85" s="1"/>
  <c r="D27" i="85" s="1"/>
  <c r="C17" i="85"/>
  <c r="C18" i="85" s="1"/>
  <c r="C19" i="85" s="1"/>
  <c r="C20" i="85" s="1"/>
  <c r="C21" i="85" s="1"/>
  <c r="C22" i="85" s="1"/>
  <c r="C23" i="85" s="1"/>
  <c r="C24" i="85" s="1"/>
  <c r="C25" i="85" s="1"/>
  <c r="C26" i="85" s="1"/>
  <c r="C27" i="85" s="1"/>
  <c r="D17" i="65"/>
  <c r="D18" i="65" s="1"/>
  <c r="D19" i="65" s="1"/>
  <c r="D20" i="65" s="1"/>
  <c r="D21" i="65" s="1"/>
  <c r="D22" i="65" s="1"/>
  <c r="D23" i="65" s="1"/>
  <c r="D24" i="65" s="1"/>
  <c r="D25" i="65" s="1"/>
  <c r="D26" i="65" s="1"/>
  <c r="D27" i="65" s="1"/>
  <c r="C17" i="65"/>
  <c r="C18" i="65" s="1"/>
  <c r="C19" i="65" s="1"/>
  <c r="C20" i="65" s="1"/>
  <c r="C21" i="65" s="1"/>
  <c r="C22" i="65" s="1"/>
  <c r="C23" i="65" s="1"/>
  <c r="C24" i="65" s="1"/>
  <c r="C25" i="65" s="1"/>
  <c r="C26" i="65" s="1"/>
  <c r="C27" i="65" s="1"/>
  <c r="D17" i="22"/>
  <c r="D18" i="22" s="1"/>
  <c r="D19" i="22" s="1"/>
  <c r="D20" i="22" s="1"/>
  <c r="D21" i="22"/>
  <c r="D22" i="22" s="1"/>
  <c r="D23" i="22" s="1"/>
  <c r="D24" i="22" s="1"/>
  <c r="D25" i="22" s="1"/>
  <c r="D26" i="22" s="1"/>
  <c r="D27" i="22" s="1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D17" i="89"/>
  <c r="D18" i="89" s="1"/>
  <c r="D19" i="89" s="1"/>
  <c r="D20" i="89" s="1"/>
  <c r="D21" i="89" s="1"/>
  <c r="D22" i="89" s="1"/>
  <c r="D23" i="89" s="1"/>
  <c r="D24" i="89" s="1"/>
  <c r="D25" i="89" s="1"/>
  <c r="D26" i="89" s="1"/>
  <c r="D27" i="89" s="1"/>
  <c r="C17" i="89"/>
  <c r="C18" i="89" s="1"/>
  <c r="C19" i="89" s="1"/>
  <c r="C20" i="89" s="1"/>
  <c r="C21" i="89" s="1"/>
  <c r="C22" i="89" s="1"/>
  <c r="C23" i="89" s="1"/>
  <c r="C24" i="89" s="1"/>
  <c r="C25" i="89" s="1"/>
  <c r="C26" i="89" s="1"/>
  <c r="C27" i="89" s="1"/>
  <c r="D17" i="88"/>
  <c r="D18" i="88" s="1"/>
  <c r="D19" i="88" s="1"/>
  <c r="D20" i="88" s="1"/>
  <c r="D21" i="88"/>
  <c r="D22" i="88" s="1"/>
  <c r="D23" i="88" s="1"/>
  <c r="D24" i="88" s="1"/>
  <c r="D25" i="88" s="1"/>
  <c r="D26" i="88" s="1"/>
  <c r="D27" i="88" s="1"/>
  <c r="C17" i="88"/>
  <c r="C18" i="88" s="1"/>
  <c r="C19" i="88" s="1"/>
  <c r="C20" i="88" s="1"/>
  <c r="C21" i="88" s="1"/>
  <c r="C22" i="88" s="1"/>
  <c r="C23" i="88" s="1"/>
  <c r="C24" i="88" s="1"/>
  <c r="C25" i="88" s="1"/>
  <c r="C26" i="88" s="1"/>
  <c r="C27" i="88" s="1"/>
  <c r="M17" i="49"/>
  <c r="M18" i="49" s="1"/>
  <c r="M19" i="49" s="1"/>
  <c r="M20" i="49" s="1"/>
  <c r="M21" i="49" s="1"/>
  <c r="M22" i="49" s="1"/>
  <c r="M23" i="49" s="1"/>
  <c r="M24" i="49" s="1"/>
  <c r="M25" i="49" s="1"/>
  <c r="M26" i="49" s="1"/>
  <c r="M27" i="49" s="1"/>
  <c r="L17" i="49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K17" i="49"/>
  <c r="K18" i="49" s="1"/>
  <c r="K19" i="49" s="1"/>
  <c r="K20" i="49" s="1"/>
  <c r="K21" i="49"/>
  <c r="K22" i="49" s="1"/>
  <c r="K23" i="49" s="1"/>
  <c r="K24" i="49" s="1"/>
  <c r="K25" i="49" s="1"/>
  <c r="K26" i="49" s="1"/>
  <c r="K27" i="49" s="1"/>
  <c r="L17" i="75"/>
  <c r="L18" i="75" s="1"/>
  <c r="L19" i="75" s="1"/>
  <c r="L20" i="75" s="1"/>
  <c r="L21" i="75" s="1"/>
  <c r="L22" i="75" s="1"/>
  <c r="L23" i="75" s="1"/>
  <c r="L24" i="75" s="1"/>
  <c r="L25" i="75" s="1"/>
  <c r="L26" i="75" s="1"/>
  <c r="L27" i="75" s="1"/>
  <c r="K17" i="75"/>
  <c r="K18" i="75" s="1"/>
  <c r="K19" i="75" s="1"/>
  <c r="K20" i="75" s="1"/>
  <c r="K21" i="75" s="1"/>
  <c r="K22" i="75" s="1"/>
  <c r="K23" i="75" s="1"/>
  <c r="K24" i="75" s="1"/>
  <c r="K25" i="75" s="1"/>
  <c r="K26" i="75" s="1"/>
  <c r="K27" i="75" s="1"/>
  <c r="M17" i="80"/>
  <c r="M18" i="80" s="1"/>
  <c r="M19" i="80"/>
  <c r="M20" i="80" s="1"/>
  <c r="M21" i="80" s="1"/>
  <c r="M22" i="80" s="1"/>
  <c r="M23" i="80" s="1"/>
  <c r="M24" i="80" s="1"/>
  <c r="M25" i="80" s="1"/>
  <c r="M26" i="80" s="1"/>
  <c r="M27" i="80" s="1"/>
  <c r="M17" i="85"/>
  <c r="M18" i="85" s="1"/>
  <c r="M19" i="85" s="1"/>
  <c r="M20" i="85" s="1"/>
  <c r="M21" i="85" s="1"/>
  <c r="M22" i="85" s="1"/>
  <c r="M23" i="85" s="1"/>
  <c r="M24" i="85" s="1"/>
  <c r="M25" i="85" s="1"/>
  <c r="M26" i="85" s="1"/>
  <c r="M27" i="85" s="1"/>
  <c r="L17" i="85"/>
  <c r="L18" i="85" s="1"/>
  <c r="L19" i="85" s="1"/>
  <c r="L20" i="85" s="1"/>
  <c r="L21" i="85" s="1"/>
  <c r="L22" i="85" s="1"/>
  <c r="L23" i="85" s="1"/>
  <c r="L24" i="85" s="1"/>
  <c r="L25" i="85" s="1"/>
  <c r="L26" i="85" s="1"/>
  <c r="L27" i="85" s="1"/>
  <c r="K17" i="85"/>
  <c r="K18" i="85" s="1"/>
  <c r="K19" i="85" s="1"/>
  <c r="K20" i="85" s="1"/>
  <c r="K21" i="85" s="1"/>
  <c r="K22" i="85" s="1"/>
  <c r="K23" i="85" s="1"/>
  <c r="K24" i="85" s="1"/>
  <c r="K25" i="85" s="1"/>
  <c r="K26" i="85" s="1"/>
  <c r="K27" i="85" s="1"/>
  <c r="M17" i="65"/>
  <c r="M18" i="65" s="1"/>
  <c r="M19" i="65"/>
  <c r="M20" i="65" s="1"/>
  <c r="M21" i="65" s="1"/>
  <c r="M22" i="65" s="1"/>
  <c r="M23" i="65" s="1"/>
  <c r="M24" i="65" s="1"/>
  <c r="M25" i="65" s="1"/>
  <c r="M26" i="65" s="1"/>
  <c r="M27" i="65" s="1"/>
  <c r="L17" i="65"/>
  <c r="L18" i="65" s="1"/>
  <c r="L19" i="65" s="1"/>
  <c r="L20" i="65" s="1"/>
  <c r="L21" i="65" s="1"/>
  <c r="L22" i="65" s="1"/>
  <c r="L23" i="65" s="1"/>
  <c r="L24" i="65" s="1"/>
  <c r="L25" i="65" s="1"/>
  <c r="L26" i="65" s="1"/>
  <c r="L27" i="65" s="1"/>
  <c r="K17" i="65"/>
  <c r="K18" i="65" s="1"/>
  <c r="K19" i="65" s="1"/>
  <c r="K20" i="65" s="1"/>
  <c r="K21" i="65" s="1"/>
  <c r="K22" i="65" s="1"/>
  <c r="K23" i="65" s="1"/>
  <c r="K24" i="65" s="1"/>
  <c r="K25" i="65" s="1"/>
  <c r="K26" i="65" s="1"/>
  <c r="K27" i="65" s="1"/>
  <c r="M17" i="77"/>
  <c r="M18" i="77" s="1"/>
  <c r="M19" i="77" s="1"/>
  <c r="M20" i="77" s="1"/>
  <c r="M21" i="77" s="1"/>
  <c r="M22" i="77" s="1"/>
  <c r="M23" i="77" s="1"/>
  <c r="M24" i="77" s="1"/>
  <c r="M25" i="77" s="1"/>
  <c r="M26" i="77" s="1"/>
  <c r="M27" i="77" s="1"/>
  <c r="L17" i="77"/>
  <c r="L18" i="77" s="1"/>
  <c r="L19" i="77" s="1"/>
  <c r="L20" i="77" s="1"/>
  <c r="L21" i="77" s="1"/>
  <c r="L22" i="77" s="1"/>
  <c r="L23" i="77" s="1"/>
  <c r="L24" i="77" s="1"/>
  <c r="L25" i="77" s="1"/>
  <c r="L26" i="77" s="1"/>
  <c r="L27" i="77" s="1"/>
  <c r="K17" i="77"/>
  <c r="K18" i="77" s="1"/>
  <c r="K19" i="77" s="1"/>
  <c r="K20" i="77" s="1"/>
  <c r="K21" i="77" s="1"/>
  <c r="K22" i="77" s="1"/>
  <c r="K23" i="77" s="1"/>
  <c r="K24" i="77" s="1"/>
  <c r="K25" i="77" s="1"/>
  <c r="K26" i="77" s="1"/>
  <c r="K27" i="77" s="1"/>
  <c r="M17" i="74"/>
  <c r="M18" i="74" s="1"/>
  <c r="M19" i="74" s="1"/>
  <c r="M20" i="74" s="1"/>
  <c r="M21" i="74"/>
  <c r="M22" i="74" s="1"/>
  <c r="M23" i="74" s="1"/>
  <c r="M24" i="74" s="1"/>
  <c r="M25" i="74" s="1"/>
  <c r="M26" i="74" s="1"/>
  <c r="M27" i="74" s="1"/>
  <c r="L17" i="74"/>
  <c r="L18" i="74" s="1"/>
  <c r="L19" i="74" s="1"/>
  <c r="L20" i="74" s="1"/>
  <c r="L21" i="74" s="1"/>
  <c r="L22" i="74" s="1"/>
  <c r="L23" i="74" s="1"/>
  <c r="L24" i="74" s="1"/>
  <c r="L25" i="74" s="1"/>
  <c r="L26" i="74" s="1"/>
  <c r="L27" i="74" s="1"/>
  <c r="K17" i="74"/>
  <c r="K18" i="74" s="1"/>
  <c r="K19" i="74" s="1"/>
  <c r="K20" i="74" s="1"/>
  <c r="K21" i="74" s="1"/>
  <c r="K22" i="74" s="1"/>
  <c r="K23" i="74" s="1"/>
  <c r="K24" i="74" s="1"/>
  <c r="K25" i="74" s="1"/>
  <c r="K26" i="74" s="1"/>
  <c r="K27" i="74" s="1"/>
  <c r="M17" i="8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L17" i="8"/>
  <c r="L18" i="8" s="1"/>
  <c r="L19" i="8" s="1"/>
  <c r="L20" i="8" s="1"/>
  <c r="L21" i="8"/>
  <c r="L22" i="8" s="1"/>
  <c r="L23" i="8" s="1"/>
  <c r="L24" i="8" s="1"/>
  <c r="L25" i="8" s="1"/>
  <c r="L26" i="8" s="1"/>
  <c r="L27" i="8" s="1"/>
  <c r="K17" i="8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M17" i="17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L17" i="17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K17" i="17"/>
  <c r="K18" i="17" s="1"/>
  <c r="K19" i="17" s="1"/>
  <c r="K20" i="17" s="1"/>
  <c r="K21" i="17"/>
  <c r="K22" i="17" s="1"/>
  <c r="K23" i="17" s="1"/>
  <c r="K24" i="17" s="1"/>
  <c r="K25" i="17" s="1"/>
  <c r="K26" i="17" s="1"/>
  <c r="K27" i="17" s="1"/>
  <c r="M17" i="79"/>
  <c r="M18" i="79" s="1"/>
  <c r="M19" i="79" s="1"/>
  <c r="M20" i="79" s="1"/>
  <c r="M21" i="79" s="1"/>
  <c r="M22" i="79" s="1"/>
  <c r="M23" i="79" s="1"/>
  <c r="M24" i="79" s="1"/>
  <c r="M25" i="79" s="1"/>
  <c r="M26" i="79" s="1"/>
  <c r="M27" i="79" s="1"/>
  <c r="L17" i="79"/>
  <c r="L18" i="79" s="1"/>
  <c r="L19" i="79" s="1"/>
  <c r="L20" i="79" s="1"/>
  <c r="L21" i="79" s="1"/>
  <c r="L22" i="79" s="1"/>
  <c r="L23" i="79" s="1"/>
  <c r="L24" i="79" s="1"/>
  <c r="L25" i="79" s="1"/>
  <c r="L26" i="79" s="1"/>
  <c r="L27" i="79" s="1"/>
  <c r="K17" i="79"/>
  <c r="K18" i="79" s="1"/>
  <c r="K19" i="79" s="1"/>
  <c r="K20" i="79" s="1"/>
  <c r="K21" i="79" s="1"/>
  <c r="K22" i="79" s="1"/>
  <c r="K23" i="79" s="1"/>
  <c r="K24" i="79" s="1"/>
  <c r="K25" i="79" s="1"/>
  <c r="K26" i="79" s="1"/>
  <c r="K27" i="79" s="1"/>
  <c r="K17" i="72"/>
  <c r="K18" i="72" s="1"/>
  <c r="K19" i="72" s="1"/>
  <c r="K20" i="72" s="1"/>
  <c r="K21" i="72" s="1"/>
  <c r="K22" i="72" s="1"/>
  <c r="K23" i="72" s="1"/>
  <c r="K24" i="72" s="1"/>
  <c r="K25" i="72" s="1"/>
  <c r="K26" i="72" s="1"/>
  <c r="K27" i="72" s="1"/>
  <c r="M17" i="70"/>
  <c r="M18" i="70"/>
  <c r="M19" i="70" s="1"/>
  <c r="M20" i="70" s="1"/>
  <c r="M21" i="70" s="1"/>
  <c r="M22" i="70" s="1"/>
  <c r="M23" i="70" s="1"/>
  <c r="M24" i="70" s="1"/>
  <c r="M25" i="70" s="1"/>
  <c r="M26" i="70" s="1"/>
  <c r="M27" i="70" s="1"/>
  <c r="L17" i="70"/>
  <c r="L18" i="70"/>
  <c r="L19" i="70" s="1"/>
  <c r="L20" i="70" s="1"/>
  <c r="L21" i="70" s="1"/>
  <c r="L22" i="70" s="1"/>
  <c r="L23" i="70" s="1"/>
  <c r="L24" i="70" s="1"/>
  <c r="L25" i="70" s="1"/>
  <c r="L26" i="70" s="1"/>
  <c r="L27" i="70" s="1"/>
  <c r="K17" i="70"/>
  <c r="K18" i="70"/>
  <c r="K19" i="70" s="1"/>
  <c r="K20" i="70" s="1"/>
  <c r="K21" i="70" s="1"/>
  <c r="K22" i="70" s="1"/>
  <c r="K23" i="70" s="1"/>
  <c r="K24" i="70" s="1"/>
  <c r="K25" i="70" s="1"/>
  <c r="K26" i="70" s="1"/>
  <c r="K27" i="70" s="1"/>
  <c r="M17" i="68"/>
  <c r="M18" i="68"/>
  <c r="M19" i="68" s="1"/>
  <c r="M20" i="68" s="1"/>
  <c r="M21" i="68" s="1"/>
  <c r="M22" i="68" s="1"/>
  <c r="M23" i="68" s="1"/>
  <c r="M24" i="68" s="1"/>
  <c r="M25" i="68" s="1"/>
  <c r="M26" i="68" s="1"/>
  <c r="M27" i="68" s="1"/>
  <c r="L17" i="68"/>
  <c r="L18" i="68"/>
  <c r="L19" i="68" s="1"/>
  <c r="L20" i="68" s="1"/>
  <c r="L21" i="68" s="1"/>
  <c r="L22" i="68" s="1"/>
  <c r="L23" i="68" s="1"/>
  <c r="L24" i="68" s="1"/>
  <c r="L25" i="68" s="1"/>
  <c r="L26" i="68" s="1"/>
  <c r="L27" i="68" s="1"/>
  <c r="K17" i="68"/>
  <c r="K18" i="68"/>
  <c r="K19" i="68" s="1"/>
  <c r="K20" i="68" s="1"/>
  <c r="K21" i="68" s="1"/>
  <c r="K22" i="68" s="1"/>
  <c r="K23" i="68" s="1"/>
  <c r="K24" i="68" s="1"/>
  <c r="K25" i="68" s="1"/>
  <c r="K26" i="68" s="1"/>
  <c r="K27" i="68" s="1"/>
  <c r="M17" i="24"/>
  <c r="M18" i="24"/>
  <c r="M19" i="24" s="1"/>
  <c r="M20" i="24" s="1"/>
  <c r="M21" i="24" s="1"/>
  <c r="M22" i="24" s="1"/>
  <c r="M23" i="24" s="1"/>
  <c r="M24" i="24" s="1"/>
  <c r="M25" i="24" s="1"/>
  <c r="M26" i="24" s="1"/>
  <c r="M27" i="24" s="1"/>
  <c r="L17" i="24"/>
  <c r="L18" i="24"/>
  <c r="L19" i="24" s="1"/>
  <c r="L20" i="24" s="1"/>
  <c r="L21" i="24" s="1"/>
  <c r="L22" i="24" s="1"/>
  <c r="L23" i="24" s="1"/>
  <c r="L24" i="24" s="1"/>
  <c r="L25" i="24" s="1"/>
  <c r="L26" i="24" s="1"/>
  <c r="L27" i="24" s="1"/>
  <c r="K17" i="24"/>
  <c r="K18" i="24"/>
  <c r="K19" i="24" s="1"/>
  <c r="K20" i="24" s="1"/>
  <c r="K21" i="24" s="1"/>
  <c r="K22" i="24" s="1"/>
  <c r="K23" i="24" s="1"/>
  <c r="K24" i="24" s="1"/>
  <c r="K25" i="24" s="1"/>
  <c r="K26" i="24" s="1"/>
  <c r="K27" i="24" s="1"/>
  <c r="M17" i="3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L17" i="3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K17" i="3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M17" i="66"/>
  <c r="M18" i="66" s="1"/>
  <c r="M19" i="66" s="1"/>
  <c r="M20" i="66" s="1"/>
  <c r="M21" i="66"/>
  <c r="M22" i="66" s="1"/>
  <c r="M23" i="66" s="1"/>
  <c r="M24" i="66" s="1"/>
  <c r="M25" i="66" s="1"/>
  <c r="M26" i="66" s="1"/>
  <c r="M27" i="66" s="1"/>
  <c r="L17" i="66"/>
  <c r="L18" i="66" s="1"/>
  <c r="L19" i="66" s="1"/>
  <c r="L20" i="66" s="1"/>
  <c r="L21" i="66" s="1"/>
  <c r="L22" i="66" s="1"/>
  <c r="L23" i="66" s="1"/>
  <c r="L24" i="66" s="1"/>
  <c r="L25" i="66" s="1"/>
  <c r="L26" i="66" s="1"/>
  <c r="L27" i="66" s="1"/>
  <c r="K17" i="66"/>
  <c r="K18" i="66" s="1"/>
  <c r="K19" i="66" s="1"/>
  <c r="K20" i="66" s="1"/>
  <c r="K21" i="66" s="1"/>
  <c r="K22" i="66" s="1"/>
  <c r="K23" i="66" s="1"/>
  <c r="K24" i="66" s="1"/>
  <c r="K25" i="66" s="1"/>
  <c r="K26" i="66" s="1"/>
  <c r="K27" i="66" s="1"/>
  <c r="M17" i="62"/>
  <c r="M18" i="62" s="1"/>
  <c r="M19" i="62" s="1"/>
  <c r="M20" i="62" s="1"/>
  <c r="M21" i="62" s="1"/>
  <c r="M22" i="62" s="1"/>
  <c r="M23" i="62" s="1"/>
  <c r="M24" i="62" s="1"/>
  <c r="M25" i="62" s="1"/>
  <c r="M26" i="62" s="1"/>
  <c r="M27" i="62" s="1"/>
  <c r="K17" i="62"/>
  <c r="K18" i="62" s="1"/>
  <c r="K19" i="62" s="1"/>
  <c r="K20" i="62" s="1"/>
  <c r="K21" i="62"/>
  <c r="K22" i="62" s="1"/>
  <c r="K23" i="62" s="1"/>
  <c r="K24" i="62" s="1"/>
  <c r="K25" i="62" s="1"/>
  <c r="K26" i="62" s="1"/>
  <c r="K27" i="62" s="1"/>
  <c r="M17" i="20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L17" i="20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K17" i="20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M17" i="18"/>
  <c r="M18" i="18"/>
  <c r="M19" i="18" s="1"/>
  <c r="M20" i="18" s="1"/>
  <c r="M21" i="18" s="1"/>
  <c r="M22" i="18" s="1"/>
  <c r="M23" i="18" s="1"/>
  <c r="M24" i="18" s="1"/>
  <c r="M25" i="18" s="1"/>
  <c r="M26" i="18" s="1"/>
  <c r="M27" i="18" s="1"/>
  <c r="L17" i="18"/>
  <c r="L18" i="18"/>
  <c r="L19" i="18" s="1"/>
  <c r="L20" i="18" s="1"/>
  <c r="L21" i="18" s="1"/>
  <c r="L22" i="18" s="1"/>
  <c r="L23" i="18" s="1"/>
  <c r="L24" i="18" s="1"/>
  <c r="L25" i="18" s="1"/>
  <c r="L26" i="18" s="1"/>
  <c r="L27" i="18" s="1"/>
  <c r="K17" i="18"/>
  <c r="K18" i="18"/>
  <c r="K19" i="18" s="1"/>
  <c r="K20" i="18" s="1"/>
  <c r="K21" i="18" s="1"/>
  <c r="K22" i="18" s="1"/>
  <c r="K23" i="18" s="1"/>
  <c r="K24" i="18" s="1"/>
  <c r="K25" i="18" s="1"/>
  <c r="K26" i="18" s="1"/>
  <c r="K27" i="18" s="1"/>
  <c r="H17" i="92"/>
  <c r="H18" i="92" s="1"/>
  <c r="H19" i="92" s="1"/>
  <c r="H20" i="92" s="1"/>
  <c r="H21" i="92" s="1"/>
  <c r="H22" i="92" s="1"/>
  <c r="H23" i="92" s="1"/>
  <c r="H24" i="92" s="1"/>
  <c r="H25" i="92" s="1"/>
  <c r="H26" i="92" s="1"/>
  <c r="H27" i="92" s="1"/>
  <c r="H17" i="75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17" i="80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I17" i="85"/>
  <c r="I18" i="85" s="1"/>
  <c r="I19" i="85" s="1"/>
  <c r="I20" i="85" s="1"/>
  <c r="I21" i="85"/>
  <c r="I22" i="85" s="1"/>
  <c r="I23" i="85" s="1"/>
  <c r="I24" i="85" s="1"/>
  <c r="I25" i="85" s="1"/>
  <c r="I26" i="85" s="1"/>
  <c r="I27" i="85" s="1"/>
  <c r="H17" i="85"/>
  <c r="H18" i="85" s="1"/>
  <c r="H19" i="85" s="1"/>
  <c r="H20" i="85" s="1"/>
  <c r="H21" i="85" s="1"/>
  <c r="H22" i="85" s="1"/>
  <c r="H23" i="85" s="1"/>
  <c r="H24" i="85" s="1"/>
  <c r="H25" i="85" s="1"/>
  <c r="H26" i="85" s="1"/>
  <c r="H27" i="85" s="1"/>
  <c r="H17" i="65"/>
  <c r="H18" i="65" s="1"/>
  <c r="H19" i="65" s="1"/>
  <c r="H20" i="65" s="1"/>
  <c r="H21" i="65" s="1"/>
  <c r="H22" i="65" s="1"/>
  <c r="H23" i="65" s="1"/>
  <c r="H24" i="65" s="1"/>
  <c r="H25" i="65" s="1"/>
  <c r="H26" i="65" s="1"/>
  <c r="H27" i="65" s="1"/>
  <c r="H17" i="22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17" i="89"/>
  <c r="H18" i="89" s="1"/>
  <c r="H19" i="89" s="1"/>
  <c r="H20" i="89" s="1"/>
  <c r="H21" i="89"/>
  <c r="H22" i="89" s="1"/>
  <c r="H23" i="89" s="1"/>
  <c r="H24" i="89" s="1"/>
  <c r="H25" i="89" s="1"/>
  <c r="H26" i="89" s="1"/>
  <c r="H27" i="89" s="1"/>
  <c r="H17" i="88"/>
  <c r="H18" i="88" s="1"/>
  <c r="H19" i="88" s="1"/>
  <c r="H20" i="88" s="1"/>
  <c r="H21" i="88" s="1"/>
  <c r="H22" i="88" s="1"/>
  <c r="H23" i="88" s="1"/>
  <c r="H24" i="88" s="1"/>
  <c r="H25" i="88" s="1"/>
  <c r="H26" i="88" s="1"/>
  <c r="H27" i="88" s="1"/>
  <c r="H17" i="77"/>
  <c r="H18" i="77" s="1"/>
  <c r="H19" i="77" s="1"/>
  <c r="H20" i="77" s="1"/>
  <c r="H21" i="77" s="1"/>
  <c r="H22" i="77" s="1"/>
  <c r="H23" i="77" s="1"/>
  <c r="H24" i="77" s="1"/>
  <c r="H25" i="77" s="1"/>
  <c r="H26" i="77" s="1"/>
  <c r="H27" i="77" s="1"/>
  <c r="I17" i="74"/>
  <c r="I18" i="74" s="1"/>
  <c r="I19" i="74" s="1"/>
  <c r="I20" i="74" s="1"/>
  <c r="I21" i="74" s="1"/>
  <c r="I22" i="74" s="1"/>
  <c r="I23" i="74" s="1"/>
  <c r="I24" i="74" s="1"/>
  <c r="I25" i="74" s="1"/>
  <c r="I26" i="74" s="1"/>
  <c r="I27" i="74" s="1"/>
  <c r="H17" i="74"/>
  <c r="H18" i="74" s="1"/>
  <c r="H19" i="74" s="1"/>
  <c r="H20" i="74" s="1"/>
  <c r="H21" i="74"/>
  <c r="H22" i="74" s="1"/>
  <c r="H23" i="74" s="1"/>
  <c r="H24" i="74" s="1"/>
  <c r="H25" i="74" s="1"/>
  <c r="H26" i="74" s="1"/>
  <c r="H27" i="74" s="1"/>
  <c r="I17" i="8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H17" i="8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17" i="17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I17" i="79"/>
  <c r="I18" i="79" s="1"/>
  <c r="I19" i="79" s="1"/>
  <c r="I20" i="79" s="1"/>
  <c r="I21" i="79"/>
  <c r="I22" i="79" s="1"/>
  <c r="I23" i="79" s="1"/>
  <c r="I24" i="79" s="1"/>
  <c r="I25" i="79" s="1"/>
  <c r="I26" i="79" s="1"/>
  <c r="I27" i="79" s="1"/>
  <c r="H17" i="79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I17" i="68"/>
  <c r="I18" i="68"/>
  <c r="I19" i="68" s="1"/>
  <c r="I20" i="68" s="1"/>
  <c r="I21" i="68" s="1"/>
  <c r="I22" i="68" s="1"/>
  <c r="I23" i="68" s="1"/>
  <c r="I24" i="68" s="1"/>
  <c r="I25" i="68" s="1"/>
  <c r="I26" i="68" s="1"/>
  <c r="I27" i="68" s="1"/>
  <c r="I17" i="24"/>
  <c r="I18" i="24"/>
  <c r="I19" i="24" s="1"/>
  <c r="I20" i="24" s="1"/>
  <c r="I21" i="24" s="1"/>
  <c r="I22" i="24" s="1"/>
  <c r="I23" i="24" s="1"/>
  <c r="I24" i="24" s="1"/>
  <c r="I25" i="24" s="1"/>
  <c r="I26" i="24" s="1"/>
  <c r="I27" i="24" s="1"/>
  <c r="H17" i="24"/>
  <c r="H18" i="24"/>
  <c r="H19" i="24" s="1"/>
  <c r="H20" i="24" s="1"/>
  <c r="H21" i="24" s="1"/>
  <c r="H22" i="24" s="1"/>
  <c r="H23" i="24" s="1"/>
  <c r="H24" i="24" s="1"/>
  <c r="H25" i="24" s="1"/>
  <c r="H26" i="24" s="1"/>
  <c r="H27" i="24" s="1"/>
  <c r="I17" i="3"/>
  <c r="I18" i="3"/>
  <c r="I19" i="3" s="1"/>
  <c r="I20" i="3"/>
  <c r="I21" i="3" s="1"/>
  <c r="I22" i="3" s="1"/>
  <c r="I23" i="3" s="1"/>
  <c r="I24" i="3" s="1"/>
  <c r="I25" i="3" s="1"/>
  <c r="I26" i="3" s="1"/>
  <c r="I27" i="3" s="1"/>
  <c r="H17" i="3"/>
  <c r="H18" i="3"/>
  <c r="H19" i="3" s="1"/>
  <c r="H20" i="3" s="1"/>
  <c r="H21" i="3" s="1"/>
  <c r="H22" i="3"/>
  <c r="H23" i="3" s="1"/>
  <c r="H24" i="3" s="1"/>
  <c r="H25" i="3" s="1"/>
  <c r="H26" i="3" s="1"/>
  <c r="H27" i="3" s="1"/>
  <c r="I17" i="11"/>
  <c r="I18" i="11"/>
  <c r="I19" i="11" s="1"/>
  <c r="I20" i="11"/>
  <c r="I21" i="11" s="1"/>
  <c r="I22" i="11" s="1"/>
  <c r="I23" i="11" s="1"/>
  <c r="I24" i="11" s="1"/>
  <c r="I25" i="11" s="1"/>
  <c r="I26" i="11" s="1"/>
  <c r="I27" i="11" s="1"/>
  <c r="H17" i="11"/>
  <c r="H18" i="11"/>
  <c r="H19" i="11" s="1"/>
  <c r="H20" i="11" s="1"/>
  <c r="H21" i="11" s="1"/>
  <c r="H22" i="11"/>
  <c r="H23" i="11" s="1"/>
  <c r="H24" i="11" s="1"/>
  <c r="H25" i="11" s="1"/>
  <c r="H26" i="11" s="1"/>
  <c r="H27" i="11" s="1"/>
  <c r="I17" i="66"/>
  <c r="I18" i="66"/>
  <c r="I19" i="66" s="1"/>
  <c r="I20" i="66"/>
  <c r="I21" i="66" s="1"/>
  <c r="I22" i="66" s="1"/>
  <c r="I23" i="66" s="1"/>
  <c r="I24" i="66" s="1"/>
  <c r="I25" i="66" s="1"/>
  <c r="I26" i="66" s="1"/>
  <c r="I27" i="66" s="1"/>
  <c r="H17" i="66"/>
  <c r="H18" i="66"/>
  <c r="H19" i="66" s="1"/>
  <c r="H20" i="66" s="1"/>
  <c r="H21" i="66" s="1"/>
  <c r="H22" i="66"/>
  <c r="H23" i="66" s="1"/>
  <c r="H24" i="66" s="1"/>
  <c r="H25" i="66" s="1"/>
  <c r="H26" i="66" s="1"/>
  <c r="H27" i="66" s="1"/>
  <c r="I17" i="62"/>
  <c r="I18" i="62"/>
  <c r="I19" i="62" s="1"/>
  <c r="I20" i="62"/>
  <c r="I21" i="62" s="1"/>
  <c r="I22" i="62" s="1"/>
  <c r="I23" i="62" s="1"/>
  <c r="I24" i="62" s="1"/>
  <c r="I25" i="62" s="1"/>
  <c r="I26" i="62" s="1"/>
  <c r="I27" i="62" s="1"/>
  <c r="H17" i="18"/>
  <c r="H18" i="18"/>
  <c r="H19" i="18" s="1"/>
  <c r="H20" i="18" s="1"/>
  <c r="H21" i="18" s="1"/>
  <c r="H22" i="18" s="1"/>
  <c r="H23" i="18" s="1"/>
  <c r="H24" i="18" s="1"/>
  <c r="H25" i="18" s="1"/>
  <c r="H26" i="18" s="1"/>
  <c r="H27" i="18" s="1"/>
  <c r="G17" i="18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17" i="77"/>
  <c r="G18" i="77"/>
  <c r="G19" i="77" s="1"/>
  <c r="G20" i="77" s="1"/>
  <c r="G21" i="77" s="1"/>
  <c r="G22" i="77" s="1"/>
  <c r="G23" i="77" s="1"/>
  <c r="G24" i="77" s="1"/>
  <c r="G25" i="77" s="1"/>
  <c r="G26" i="77" s="1"/>
  <c r="G27" i="77" s="1"/>
  <c r="G17" i="74"/>
  <c r="G18" i="74"/>
  <c r="G19" i="74" s="1"/>
  <c r="G20" i="74" s="1"/>
  <c r="G21" i="74" s="1"/>
  <c r="G22" i="74" s="1"/>
  <c r="G23" i="74" s="1"/>
  <c r="G24" i="74" s="1"/>
  <c r="G25" i="74" s="1"/>
  <c r="G26" i="74" s="1"/>
  <c r="G27" i="74" s="1"/>
  <c r="G17" i="8"/>
  <c r="G18" i="8"/>
  <c r="G19" i="8" s="1"/>
  <c r="G20" i="8" s="1"/>
  <c r="G21" i="8" s="1"/>
  <c r="G22" i="8" s="1"/>
  <c r="G23" i="8" s="1"/>
  <c r="G24" i="8" s="1"/>
  <c r="G25" i="8" s="1"/>
  <c r="G26" i="8" s="1"/>
  <c r="G27" i="8" s="1"/>
  <c r="G17" i="17"/>
  <c r="G18" i="17"/>
  <c r="G19" i="17" s="1"/>
  <c r="G20" i="17" s="1"/>
  <c r="G21" i="17" s="1"/>
  <c r="G22" i="17" s="1"/>
  <c r="G23" i="17" s="1"/>
  <c r="G24" i="17" s="1"/>
  <c r="G25" i="17" s="1"/>
  <c r="G26" i="17" s="1"/>
  <c r="G27" i="17" s="1"/>
  <c r="G17" i="79"/>
  <c r="G18" i="79"/>
  <c r="G19" i="79" s="1"/>
  <c r="G20" i="79" s="1"/>
  <c r="G21" i="79" s="1"/>
  <c r="G22" i="79" s="1"/>
  <c r="G23" i="79" s="1"/>
  <c r="G24" i="79" s="1"/>
  <c r="G25" i="79" s="1"/>
  <c r="G26" i="79" s="1"/>
  <c r="G27" i="79" s="1"/>
  <c r="G17" i="24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17" i="3"/>
  <c r="G18" i="3"/>
  <c r="G19" i="3" s="1"/>
  <c r="G20" i="3"/>
  <c r="G21" i="3" s="1"/>
  <c r="G22" i="3" s="1"/>
  <c r="G23" i="3" s="1"/>
  <c r="G24" i="3" s="1"/>
  <c r="G25" i="3" s="1"/>
  <c r="G26" i="3" s="1"/>
  <c r="G27" i="3" s="1"/>
  <c r="G17" i="11"/>
  <c r="G18" i="11"/>
  <c r="G19" i="11" s="1"/>
  <c r="G20" i="11" s="1"/>
  <c r="G21" i="11" s="1"/>
  <c r="G22" i="11"/>
  <c r="G23" i="11" s="1"/>
  <c r="G24" i="11" s="1"/>
  <c r="G25" i="11" s="1"/>
  <c r="G26" i="11" s="1"/>
  <c r="G27" i="11" s="1"/>
  <c r="G17" i="66"/>
  <c r="G18" i="66"/>
  <c r="G19" i="66" s="1"/>
  <c r="G20" i="66"/>
  <c r="G21" i="66" s="1"/>
  <c r="G22" i="66" s="1"/>
  <c r="G23" i="66" s="1"/>
  <c r="G24" i="66" s="1"/>
  <c r="G25" i="66" s="1"/>
  <c r="G26" i="66" s="1"/>
  <c r="G27" i="66" s="1"/>
  <c r="G17" i="62"/>
  <c r="G18" i="62"/>
  <c r="G19" i="62" s="1"/>
  <c r="G20" i="62" s="1"/>
  <c r="G21" i="62" s="1"/>
  <c r="G22" i="62"/>
  <c r="G23" i="62" s="1"/>
  <c r="G24" i="62" s="1"/>
  <c r="G25" i="62" s="1"/>
  <c r="G26" i="62" s="1"/>
  <c r="G27" i="62" s="1"/>
  <c r="G17" i="42"/>
  <c r="G18" i="42"/>
  <c r="G19" i="42" s="1"/>
  <c r="G20" i="42" s="1"/>
  <c r="G21" i="42" s="1"/>
  <c r="G22" i="42"/>
  <c r="G23" i="42" s="1"/>
  <c r="G24" i="42" s="1"/>
  <c r="G25" i="42" s="1"/>
  <c r="G26" i="42" s="1"/>
  <c r="G27" i="42" s="1"/>
  <c r="G17" i="92"/>
  <c r="G18" i="92"/>
  <c r="G19" i="92" s="1"/>
  <c r="G20" i="92"/>
  <c r="G21" i="92" s="1"/>
  <c r="G22" i="92" s="1"/>
  <c r="G23" i="92" s="1"/>
  <c r="G24" i="92" s="1"/>
  <c r="G25" i="92" s="1"/>
  <c r="G26" i="92" s="1"/>
  <c r="G27" i="92" s="1"/>
  <c r="G17" i="75"/>
  <c r="G18" i="75"/>
  <c r="G19" i="75" s="1"/>
  <c r="G20" i="75" s="1"/>
  <c r="G21" i="75" s="1"/>
  <c r="G22" i="75"/>
  <c r="G23" i="75" s="1"/>
  <c r="G24" i="75" s="1"/>
  <c r="G25" i="75" s="1"/>
  <c r="G26" i="75" s="1"/>
  <c r="G27" i="75" s="1"/>
  <c r="G17" i="80"/>
  <c r="G18" i="80"/>
  <c r="G19" i="80" s="1"/>
  <c r="G20" i="80"/>
  <c r="G21" i="80" s="1"/>
  <c r="G22" i="80" s="1"/>
  <c r="G23" i="80" s="1"/>
  <c r="G24" i="80" s="1"/>
  <c r="G25" i="80" s="1"/>
  <c r="G26" i="80" s="1"/>
  <c r="G27" i="80" s="1"/>
  <c r="G17" i="85"/>
  <c r="G18" i="85"/>
  <c r="G19" i="85" s="1"/>
  <c r="G20" i="85" s="1"/>
  <c r="G21" i="85" s="1"/>
  <c r="G22" i="85"/>
  <c r="G23" i="85" s="1"/>
  <c r="G24" i="85" s="1"/>
  <c r="G25" i="85" s="1"/>
  <c r="G26" i="85" s="1"/>
  <c r="G27" i="85" s="1"/>
  <c r="G17" i="65"/>
  <c r="G18" i="65"/>
  <c r="G19" i="65" s="1"/>
  <c r="G20" i="65"/>
  <c r="G21" i="65" s="1"/>
  <c r="G22" i="65" s="1"/>
  <c r="G23" i="65" s="1"/>
  <c r="G24" i="65" s="1"/>
  <c r="G25" i="65" s="1"/>
  <c r="G26" i="65" s="1"/>
  <c r="G27" i="65" s="1"/>
  <c r="G17" i="22"/>
  <c r="G18" i="22"/>
  <c r="G19" i="22" s="1"/>
  <c r="G20" i="22" s="1"/>
  <c r="G21" i="22" s="1"/>
  <c r="G22" i="22"/>
  <c r="G23" i="22" s="1"/>
  <c r="G24" i="22" s="1"/>
  <c r="G25" i="22" s="1"/>
  <c r="G26" i="22" s="1"/>
  <c r="G27" i="22" s="1"/>
  <c r="G17" i="89"/>
  <c r="G18" i="89"/>
  <c r="G19" i="89" s="1"/>
  <c r="G20" i="89"/>
  <c r="G21" i="89" s="1"/>
  <c r="G22" i="89" s="1"/>
  <c r="G23" i="89" s="1"/>
  <c r="G24" i="89" s="1"/>
  <c r="G25" i="89" s="1"/>
  <c r="G26" i="89" s="1"/>
  <c r="G27" i="89" s="1"/>
  <c r="G17" i="88"/>
  <c r="G18" i="88"/>
  <c r="G19" i="88" s="1"/>
  <c r="G20" i="88" s="1"/>
  <c r="G21" i="88" s="1"/>
  <c r="G22" i="88"/>
  <c r="G23" i="88" s="1"/>
  <c r="G24" i="88" s="1"/>
  <c r="G25" i="88" s="1"/>
  <c r="G26" i="88" s="1"/>
  <c r="G27" i="88" s="1"/>
  <c r="J17" i="49"/>
  <c r="J18" i="49"/>
  <c r="J19" i="49" s="1"/>
  <c r="J20" i="49"/>
  <c r="J21" i="49" s="1"/>
  <c r="J22" i="49" s="1"/>
  <c r="J23" i="49" s="1"/>
  <c r="J24" i="49" s="1"/>
  <c r="J25" i="49" s="1"/>
  <c r="J26" i="49" s="1"/>
  <c r="J27" i="49" s="1"/>
  <c r="J17" i="42"/>
  <c r="J18" i="42"/>
  <c r="J19" i="42" s="1"/>
  <c r="J20" i="42" s="1"/>
  <c r="J21" i="42" s="1"/>
  <c r="J22" i="42"/>
  <c r="J23" i="42" s="1"/>
  <c r="J24" i="42" s="1"/>
  <c r="J25" i="42" s="1"/>
  <c r="J26" i="42" s="1"/>
  <c r="J27" i="42" s="1"/>
  <c r="J20" i="92"/>
  <c r="J21" i="92"/>
  <c r="J22" i="92" s="1"/>
  <c r="J23" i="92"/>
  <c r="J24" i="92" s="1"/>
  <c r="J25" i="92" s="1"/>
  <c r="J26" i="92" s="1"/>
  <c r="J27" i="92" s="1"/>
  <c r="J17" i="80"/>
  <c r="J18" i="80" s="1"/>
  <c r="J19" i="80" s="1"/>
  <c r="J20" i="80" s="1"/>
  <c r="J21" i="80" s="1"/>
  <c r="J22" i="80" s="1"/>
  <c r="J23" i="80" s="1"/>
  <c r="J24" i="80" s="1"/>
  <c r="J25" i="80" s="1"/>
  <c r="J26" i="80" s="1"/>
  <c r="J27" i="80" s="1"/>
  <c r="J17" i="85"/>
  <c r="J18" i="85" s="1"/>
  <c r="J19" i="85" s="1"/>
  <c r="J20" i="85" s="1"/>
  <c r="J21" i="85" s="1"/>
  <c r="J22" i="85" s="1"/>
  <c r="J23" i="85" s="1"/>
  <c r="J24" i="85" s="1"/>
  <c r="J25" i="85" s="1"/>
  <c r="J26" i="85" s="1"/>
  <c r="J27" i="85" s="1"/>
  <c r="J17" i="65"/>
  <c r="J18" i="65" s="1"/>
  <c r="J19" i="65" s="1"/>
  <c r="J20" i="65" s="1"/>
  <c r="J21" i="65"/>
  <c r="J22" i="65" s="1"/>
  <c r="J23" i="65" s="1"/>
  <c r="J24" i="65" s="1"/>
  <c r="J25" i="65" s="1"/>
  <c r="J26" i="65" s="1"/>
  <c r="J27" i="65" s="1"/>
  <c r="J17" i="22"/>
  <c r="J18" i="22" s="1"/>
  <c r="J19" i="22" s="1"/>
  <c r="J20" i="22" s="1"/>
  <c r="J21" i="22" s="1"/>
  <c r="J22" i="22" s="1"/>
  <c r="J23" i="22" s="1"/>
  <c r="J24" i="22" s="1"/>
  <c r="J25" i="22" s="1"/>
  <c r="J26" i="22" s="1"/>
  <c r="J27" i="22" s="1"/>
  <c r="J17" i="89"/>
  <c r="J18" i="89" s="1"/>
  <c r="J19" i="89" s="1"/>
  <c r="J20" i="89" s="1"/>
  <c r="J21" i="89" s="1"/>
  <c r="J22" i="89" s="1"/>
  <c r="J23" i="89" s="1"/>
  <c r="J24" i="89" s="1"/>
  <c r="J25" i="89" s="1"/>
  <c r="J26" i="89" s="1"/>
  <c r="J27" i="89" s="1"/>
  <c r="J17" i="88"/>
  <c r="J18" i="88" s="1"/>
  <c r="J19" i="88" s="1"/>
  <c r="J20" i="88" s="1"/>
  <c r="J21" i="88" s="1"/>
  <c r="J22" i="88" s="1"/>
  <c r="J23" i="88" s="1"/>
  <c r="J24" i="88" s="1"/>
  <c r="J25" i="88" s="1"/>
  <c r="J26" i="88" s="1"/>
  <c r="J27" i="88" s="1"/>
  <c r="J21" i="77"/>
  <c r="J22" i="77" s="1"/>
  <c r="J23" i="77" s="1"/>
  <c r="J24" i="77" s="1"/>
  <c r="J25" i="77"/>
  <c r="J26" i="77" s="1"/>
  <c r="J27" i="77" s="1"/>
  <c r="J17" i="74"/>
  <c r="J18" i="74" s="1"/>
  <c r="J19" i="74" s="1"/>
  <c r="J20" i="74" s="1"/>
  <c r="J21" i="74" s="1"/>
  <c r="J22" i="74" s="1"/>
  <c r="J23" i="74" s="1"/>
  <c r="J24" i="74" s="1"/>
  <c r="J25" i="74" s="1"/>
  <c r="J26" i="74" s="1"/>
  <c r="J27" i="74" s="1"/>
  <c r="J17" i="8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17" i="17"/>
  <c r="J18" i="17" s="1"/>
  <c r="J19" i="17"/>
  <c r="J20" i="17" s="1"/>
  <c r="J21" i="17" s="1"/>
  <c r="J22" i="17" s="1"/>
  <c r="J23" i="17" s="1"/>
  <c r="J24" i="17" s="1"/>
  <c r="J25" i="17" s="1"/>
  <c r="J26" i="17" s="1"/>
  <c r="J27" i="17" s="1"/>
  <c r="J17" i="79"/>
  <c r="J18" i="79" s="1"/>
  <c r="J19" i="79" s="1"/>
  <c r="J20" i="79" s="1"/>
  <c r="J21" i="79" s="1"/>
  <c r="J22" i="79" s="1"/>
  <c r="J23" i="79" s="1"/>
  <c r="J24" i="79" s="1"/>
  <c r="J25" i="79" s="1"/>
  <c r="J26" i="79" s="1"/>
  <c r="J27" i="79" s="1"/>
  <c r="J21" i="72"/>
  <c r="J22" i="72" s="1"/>
  <c r="J23" i="72" s="1"/>
  <c r="J24" i="72" s="1"/>
  <c r="J25" i="72" s="1"/>
  <c r="J26" i="72" s="1"/>
  <c r="J27" i="72" s="1"/>
  <c r="J17" i="71"/>
  <c r="J18" i="71" s="1"/>
  <c r="J19" i="71" s="1"/>
  <c r="J20" i="71" s="1"/>
  <c r="J21" i="71"/>
  <c r="J22" i="71" s="1"/>
  <c r="J23" i="71" s="1"/>
  <c r="J24" i="71" s="1"/>
  <c r="J25" i="71" s="1"/>
  <c r="J26" i="71" s="1"/>
  <c r="J27" i="71" s="1"/>
  <c r="J18" i="70"/>
  <c r="J19" i="70" s="1"/>
  <c r="J20" i="70" s="1"/>
  <c r="J21" i="70" s="1"/>
  <c r="J22" i="70" s="1"/>
  <c r="J23" i="70" s="1"/>
  <c r="J24" i="70" s="1"/>
  <c r="J25" i="70" s="1"/>
  <c r="J26" i="70" s="1"/>
  <c r="J27" i="70" s="1"/>
  <c r="J17" i="68"/>
  <c r="J18" i="68"/>
  <c r="J19" i="68" s="1"/>
  <c r="J20" i="68" s="1"/>
  <c r="J21" i="68" s="1"/>
  <c r="J22" i="68" s="1"/>
  <c r="J23" i="68" s="1"/>
  <c r="J24" i="68" s="1"/>
  <c r="J25" i="68" s="1"/>
  <c r="J26" i="68" s="1"/>
  <c r="J27" i="68" s="1"/>
  <c r="J21" i="24"/>
  <c r="J22" i="24"/>
  <c r="J23" i="24" s="1"/>
  <c r="J24" i="24" s="1"/>
  <c r="J25" i="24" s="1"/>
  <c r="J26" i="24" s="1"/>
  <c r="J27" i="24" s="1"/>
  <c r="J17" i="44"/>
  <c r="J18" i="44"/>
  <c r="J19" i="44" s="1"/>
  <c r="J20" i="44" s="1"/>
  <c r="J21" i="44" s="1"/>
  <c r="J22" i="44" s="1"/>
  <c r="J23" i="44" s="1"/>
  <c r="J24" i="44" s="1"/>
  <c r="J25" i="44" s="1"/>
  <c r="J26" i="44" s="1"/>
  <c r="J27" i="44" s="1"/>
  <c r="J20" i="3"/>
  <c r="J21" i="3"/>
  <c r="J22" i="3" s="1"/>
  <c r="J23" i="3" s="1"/>
  <c r="J24" i="3" s="1"/>
  <c r="J25" i="3" s="1"/>
  <c r="J26" i="3" s="1"/>
  <c r="J27" i="3" s="1"/>
  <c r="J17" i="66"/>
  <c r="J18" i="66" s="1"/>
  <c r="J19" i="66" s="1"/>
  <c r="J20" i="66" s="1"/>
  <c r="J21" i="66"/>
  <c r="J22" i="66" s="1"/>
  <c r="J23" i="66" s="1"/>
  <c r="J24" i="66" s="1"/>
  <c r="J25" i="66" s="1"/>
  <c r="J26" i="66" s="1"/>
  <c r="J27" i="66" s="1"/>
  <c r="J17" i="63"/>
  <c r="J18" i="63" s="1"/>
  <c r="J19" i="63" s="1"/>
  <c r="J20" i="63" s="1"/>
  <c r="J21" i="63" s="1"/>
  <c r="J22" i="63" s="1"/>
  <c r="J23" i="63" s="1"/>
  <c r="J24" i="63" s="1"/>
  <c r="J25" i="63" s="1"/>
  <c r="J26" i="63" s="1"/>
  <c r="J27" i="63" s="1"/>
  <c r="J17" i="62"/>
  <c r="J18" i="62" s="1"/>
  <c r="J19" i="62" s="1"/>
  <c r="J20" i="62" s="1"/>
  <c r="J21" i="62" s="1"/>
  <c r="J22" i="62" s="1"/>
  <c r="J23" i="62" s="1"/>
  <c r="J24" i="62" s="1"/>
  <c r="J25" i="62" s="1"/>
  <c r="J26" i="62" s="1"/>
  <c r="J27" i="62" s="1"/>
  <c r="J17" i="20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17" i="2"/>
  <c r="J18" i="2" s="1"/>
  <c r="J19" i="2" s="1"/>
  <c r="J20" i="2" s="1"/>
  <c r="J21" i="2"/>
  <c r="J22" i="2" s="1"/>
  <c r="J23" i="2" s="1"/>
  <c r="J24" i="2" s="1"/>
  <c r="J25" i="2" s="1"/>
  <c r="J26" i="2" s="1"/>
  <c r="J27" i="2" s="1"/>
  <c r="J20" i="1"/>
  <c r="J21" i="1" s="1"/>
  <c r="J22" i="1" s="1"/>
  <c r="J23" i="1" s="1"/>
  <c r="J24" i="1" s="1"/>
  <c r="J25" i="1" s="1"/>
  <c r="J26" i="1" s="1"/>
  <c r="J27" i="1" s="1"/>
  <c r="J17" i="18"/>
  <c r="J18" i="18"/>
  <c r="J19" i="18" s="1"/>
  <c r="J20" i="18" s="1"/>
  <c r="J21" i="18" s="1"/>
  <c r="J22" i="18" s="1"/>
  <c r="J23" i="18" s="1"/>
  <c r="J24" i="18" s="1"/>
  <c r="J25" i="18" s="1"/>
  <c r="J26" i="18" s="1"/>
  <c r="J27" i="18" s="1"/>
  <c r="J17" i="57"/>
  <c r="J18" i="57"/>
  <c r="J19" i="57" s="1"/>
  <c r="J20" i="57" s="1"/>
  <c r="J21" i="57" s="1"/>
  <c r="J22" i="57" s="1"/>
  <c r="J23" i="57" s="1"/>
  <c r="J24" i="57" s="1"/>
  <c r="J25" i="57" s="1"/>
  <c r="J26" i="57" s="1"/>
  <c r="J27" i="57" s="1"/>
  <c r="D11" i="95"/>
  <c r="F17" i="57"/>
  <c r="F18" i="57"/>
  <c r="F19" i="57" s="1"/>
  <c r="F20" i="57" s="1"/>
  <c r="F21" i="57" s="1"/>
  <c r="F22" i="57"/>
  <c r="F23" i="57" s="1"/>
  <c r="F24" i="57" s="1"/>
  <c r="F25" i="57" s="1"/>
  <c r="F26" i="57" s="1"/>
  <c r="D8" i="95"/>
  <c r="D45" i="95"/>
  <c r="F17" i="74"/>
  <c r="F18" i="74" s="1"/>
  <c r="F19" i="74" s="1"/>
  <c r="F20" i="74" s="1"/>
  <c r="F21" i="74" s="1"/>
  <c r="F22" i="74" s="1"/>
  <c r="F23" i="74" s="1"/>
  <c r="F24" i="74" s="1"/>
  <c r="F25" i="74" s="1"/>
  <c r="F26" i="74" s="1"/>
  <c r="F17" i="8"/>
  <c r="F18" i="8"/>
  <c r="F19" i="8" s="1"/>
  <c r="F20" i="8" s="1"/>
  <c r="F21" i="8" s="1"/>
  <c r="F22" i="8" s="1"/>
  <c r="F23" i="8" s="1"/>
  <c r="F24" i="8" s="1"/>
  <c r="F25" i="8" s="1"/>
  <c r="F26" i="8" s="1"/>
  <c r="F17" i="79"/>
  <c r="F18" i="79"/>
  <c r="F19" i="79" s="1"/>
  <c r="F20" i="79" s="1"/>
  <c r="F21" i="79" s="1"/>
  <c r="F22" i="79" s="1"/>
  <c r="F23" i="79" s="1"/>
  <c r="F24" i="79" s="1"/>
  <c r="F25" i="79" s="1"/>
  <c r="F26" i="79" s="1"/>
  <c r="F17" i="71"/>
  <c r="F18" i="71" s="1"/>
  <c r="F19" i="71"/>
  <c r="F20" i="71" s="1"/>
  <c r="F21" i="71" s="1"/>
  <c r="F22" i="71" s="1"/>
  <c r="F23" i="71" s="1"/>
  <c r="F24" i="71" s="1"/>
  <c r="F25" i="71" s="1"/>
  <c r="F26" i="71" s="1"/>
  <c r="F21" i="70"/>
  <c r="F22" i="70" s="1"/>
  <c r="F23" i="70"/>
  <c r="F24" i="70" s="1"/>
  <c r="F25" i="70" s="1"/>
  <c r="F26" i="70" s="1"/>
  <c r="F27" i="70" s="1"/>
  <c r="F17" i="68"/>
  <c r="F18" i="68" s="1"/>
  <c r="F19" i="68" s="1"/>
  <c r="F20" i="68" s="1"/>
  <c r="F21" i="68" s="1"/>
  <c r="F22" i="68" s="1"/>
  <c r="F23" i="68" s="1"/>
  <c r="F24" i="68" s="1"/>
  <c r="F25" i="68" s="1"/>
  <c r="F26" i="68" s="1"/>
  <c r="D32" i="95"/>
  <c r="D31" i="95"/>
  <c r="D29" i="95"/>
  <c r="G29" i="95" s="1"/>
  <c r="D27" i="95"/>
  <c r="D26" i="95"/>
  <c r="F17" i="24"/>
  <c r="F18" i="24" s="1"/>
  <c r="F19" i="24" s="1"/>
  <c r="F20" i="24" s="1"/>
  <c r="F21" i="24"/>
  <c r="F22" i="24" s="1"/>
  <c r="F23" i="24" s="1"/>
  <c r="F24" i="24" s="1"/>
  <c r="F25" i="24" s="1"/>
  <c r="F26" i="24" s="1"/>
  <c r="F27" i="24" s="1"/>
  <c r="F21" i="3"/>
  <c r="F22" i="3" s="1"/>
  <c r="F23" i="3" s="1"/>
  <c r="F24" i="3" s="1"/>
  <c r="F25" i="3" s="1"/>
  <c r="F26" i="3" s="1"/>
  <c r="F17" i="66"/>
  <c r="F18" i="66"/>
  <c r="F19" i="66" s="1"/>
  <c r="F20" i="66" s="1"/>
  <c r="F21" i="66" s="1"/>
  <c r="F22" i="66" s="1"/>
  <c r="F23" i="66" s="1"/>
  <c r="F24" i="66" s="1"/>
  <c r="F25" i="66" s="1"/>
  <c r="F26" i="66" s="1"/>
  <c r="D20" i="95"/>
  <c r="D19" i="95"/>
  <c r="D18" i="95"/>
  <c r="G18" i="95" s="1"/>
  <c r="F17" i="63"/>
  <c r="F18" i="63"/>
  <c r="F19" i="63" s="1"/>
  <c r="F20" i="63" s="1"/>
  <c r="F21" i="63" s="1"/>
  <c r="F22" i="63" s="1"/>
  <c r="F23" i="63" s="1"/>
  <c r="F24" i="63" s="1"/>
  <c r="F25" i="63" s="1"/>
  <c r="F26" i="63" s="1"/>
  <c r="F17" i="62"/>
  <c r="F18" i="62" s="1"/>
  <c r="F19" i="62" s="1"/>
  <c r="F20" i="62" s="1"/>
  <c r="F21" i="62"/>
  <c r="F22" i="62" s="1"/>
  <c r="F23" i="62" s="1"/>
  <c r="F24" i="62" s="1"/>
  <c r="F25" i="62" s="1"/>
  <c r="F26" i="62" s="1"/>
  <c r="F17" i="20"/>
  <c r="F18" i="20"/>
  <c r="F19" i="20" s="1"/>
  <c r="F20" i="20" s="1"/>
  <c r="F21" i="20" s="1"/>
  <c r="F22" i="20"/>
  <c r="F23" i="20" s="1"/>
  <c r="F24" i="20" s="1"/>
  <c r="F25" i="20" s="1"/>
  <c r="F26" i="20" s="1"/>
  <c r="F20" i="2"/>
  <c r="F21" i="2" s="1"/>
  <c r="F22" i="2" s="1"/>
  <c r="F23" i="2" s="1"/>
  <c r="F24" i="2" s="1"/>
  <c r="F25" i="2" s="1"/>
  <c r="F26" i="2" s="1"/>
  <c r="F17" i="1"/>
  <c r="F18" i="1" s="1"/>
  <c r="F19" i="1" s="1"/>
  <c r="F20" i="1" s="1"/>
  <c r="F21" i="1" s="1"/>
  <c r="F22" i="1" s="1"/>
  <c r="F23" i="1" s="1"/>
  <c r="F24" i="1" s="1"/>
  <c r="F25" i="1" s="1"/>
  <c r="F26" i="1" s="1"/>
  <c r="F17" i="49"/>
  <c r="F18" i="49"/>
  <c r="F19" i="49" s="1"/>
  <c r="F20" i="49" s="1"/>
  <c r="F21" i="49" s="1"/>
  <c r="F22" i="49" s="1"/>
  <c r="F23" i="49" s="1"/>
  <c r="F24" i="49" s="1"/>
  <c r="F25" i="49" s="1"/>
  <c r="F26" i="49" s="1"/>
  <c r="D47" i="95"/>
  <c r="D47" i="94"/>
  <c r="B4" i="77"/>
  <c r="B5" i="77"/>
  <c r="B17" i="77"/>
  <c r="B18" i="77" s="1"/>
  <c r="B6" i="77"/>
  <c r="B7" i="77"/>
  <c r="B19" i="77"/>
  <c r="B20" i="77" s="1"/>
  <c r="B21" i="77" s="1"/>
  <c r="B22" i="77" s="1"/>
  <c r="B23" i="77" s="1"/>
  <c r="B24" i="77" s="1"/>
  <c r="B25" i="77" s="1"/>
  <c r="B26" i="77" s="1"/>
  <c r="B27" i="77" s="1"/>
  <c r="B8" i="77"/>
  <c r="B9" i="77"/>
  <c r="B10" i="77"/>
  <c r="B11" i="77"/>
  <c r="B12" i="77"/>
  <c r="B13" i="77"/>
  <c r="B14" i="77"/>
  <c r="B4" i="17"/>
  <c r="B5" i="17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6" i="17"/>
  <c r="B7" i="17"/>
  <c r="B8" i="17"/>
  <c r="B9" i="17"/>
  <c r="B10" i="17"/>
  <c r="B11" i="17"/>
  <c r="B12" i="17"/>
  <c r="B13" i="17"/>
  <c r="B14" i="17"/>
  <c r="B4" i="79"/>
  <c r="B5" i="79"/>
  <c r="B6" i="79"/>
  <c r="B7" i="79"/>
  <c r="B8" i="79"/>
  <c r="B9" i="79"/>
  <c r="B10" i="79"/>
  <c r="B11" i="79"/>
  <c r="B12" i="79"/>
  <c r="B13" i="79"/>
  <c r="B14" i="79"/>
  <c r="B17" i="24"/>
  <c r="B18" i="24"/>
  <c r="B19" i="24" s="1"/>
  <c r="B20" i="24"/>
  <c r="B21" i="24" s="1"/>
  <c r="B22" i="24" s="1"/>
  <c r="B23" i="24" s="1"/>
  <c r="B24" i="24" s="1"/>
  <c r="B25" i="24" s="1"/>
  <c r="B26" i="24" s="1"/>
  <c r="B27" i="24" s="1"/>
  <c r="B8" i="11"/>
  <c r="B20" i="11"/>
  <c r="B21" i="11" s="1"/>
  <c r="B9" i="11"/>
  <c r="B10" i="11"/>
  <c r="B22" i="11"/>
  <c r="B23" i="11" s="1"/>
  <c r="B11" i="11"/>
  <c r="B12" i="11"/>
  <c r="B24" i="11"/>
  <c r="B25" i="11" s="1"/>
  <c r="B13" i="11"/>
  <c r="B14" i="11"/>
  <c r="B26" i="11"/>
  <c r="B27" i="11" s="1"/>
  <c r="B17" i="57"/>
  <c r="B18" i="57"/>
  <c r="B19" i="57" s="1"/>
  <c r="B20" i="57" s="1"/>
  <c r="B21" i="57" s="1"/>
  <c r="B22" i="57" s="1"/>
  <c r="B23" i="57" s="1"/>
  <c r="B24" i="57" s="1"/>
  <c r="B25" i="57" s="1"/>
  <c r="B26" i="57" s="1"/>
  <c r="D8" i="94"/>
  <c r="B4" i="65"/>
  <c r="B17" i="65" s="1"/>
  <c r="B5" i="65"/>
  <c r="B6" i="65"/>
  <c r="B18" i="65"/>
  <c r="B19" i="65" s="1"/>
  <c r="B7" i="65"/>
  <c r="B8" i="65"/>
  <c r="B20" i="65"/>
  <c r="B21" i="65" s="1"/>
  <c r="B22" i="65" s="1"/>
  <c r="B23" i="65" s="1"/>
  <c r="B24" i="65" s="1"/>
  <c r="B25" i="65" s="1"/>
  <c r="B26" i="65" s="1"/>
  <c r="B27" i="65" s="1"/>
  <c r="B9" i="65"/>
  <c r="B10" i="65"/>
  <c r="B11" i="65"/>
  <c r="B12" i="65"/>
  <c r="B13" i="65"/>
  <c r="B14" i="65"/>
  <c r="B4" i="22"/>
  <c r="B17" i="22" s="1"/>
  <c r="B5" i="22"/>
  <c r="B6" i="22"/>
  <c r="B16" i="22" s="1"/>
  <c r="B7" i="22"/>
  <c r="B8" i="22"/>
  <c r="B9" i="22"/>
  <c r="B10" i="22"/>
  <c r="B11" i="22"/>
  <c r="B12" i="22"/>
  <c r="B13" i="22"/>
  <c r="B14" i="22"/>
  <c r="F4" i="18"/>
  <c r="F5" i="18"/>
  <c r="F17" i="18"/>
  <c r="F18" i="18" s="1"/>
  <c r="F6" i="18"/>
  <c r="F7" i="18"/>
  <c r="F19" i="18"/>
  <c r="F20" i="18" s="1"/>
  <c r="F8" i="18"/>
  <c r="F9" i="18"/>
  <c r="F21" i="18"/>
  <c r="F22" i="18" s="1"/>
  <c r="F10" i="18"/>
  <c r="F11" i="18"/>
  <c r="F23" i="18"/>
  <c r="F24" i="18" s="1"/>
  <c r="F25" i="18" s="1"/>
  <c r="F26" i="18" s="1"/>
  <c r="F27" i="18" s="1"/>
  <c r="F12" i="18"/>
  <c r="F13" i="18"/>
  <c r="F14" i="18"/>
  <c r="F4" i="77"/>
  <c r="F5" i="77"/>
  <c r="F17" i="77" s="1"/>
  <c r="F18" i="77" s="1"/>
  <c r="F6" i="77"/>
  <c r="F7" i="77"/>
  <c r="F16" i="77" s="1"/>
  <c r="F8" i="77"/>
  <c r="F9" i="77"/>
  <c r="F10" i="77"/>
  <c r="F11" i="77"/>
  <c r="F12" i="77"/>
  <c r="F13" i="77"/>
  <c r="F14" i="77"/>
  <c r="F4" i="17"/>
  <c r="F5" i="17"/>
  <c r="F6" i="17"/>
  <c r="F7" i="17"/>
  <c r="F8" i="17"/>
  <c r="F9" i="17"/>
  <c r="F10" i="17"/>
  <c r="F11" i="17"/>
  <c r="F12" i="17"/>
  <c r="F13" i="17"/>
  <c r="F14" i="17"/>
  <c r="F17" i="72"/>
  <c r="F18" i="72"/>
  <c r="F19" i="72" s="1"/>
  <c r="F20" i="72" s="1"/>
  <c r="F21" i="72" s="1"/>
  <c r="F22" i="72" s="1"/>
  <c r="F23" i="72" s="1"/>
  <c r="F24" i="72" s="1"/>
  <c r="F25" i="72" s="1"/>
  <c r="F26" i="72" s="1"/>
  <c r="F27" i="72" s="1"/>
  <c r="F17" i="11"/>
  <c r="F18" i="11"/>
  <c r="F19" i="11" s="1"/>
  <c r="F20" i="11" s="1"/>
  <c r="F21" i="11" s="1"/>
  <c r="F22" i="11" s="1"/>
  <c r="F23" i="11" s="1"/>
  <c r="F24" i="11" s="1"/>
  <c r="F25" i="11" s="1"/>
  <c r="F26" i="11" s="1"/>
  <c r="F27" i="11" s="1"/>
  <c r="F4" i="92"/>
  <c r="F17" i="92" s="1"/>
  <c r="F18" i="92" s="1"/>
  <c r="F19" i="92" s="1"/>
  <c r="F20" i="92" s="1"/>
  <c r="F21" i="92" s="1"/>
  <c r="F22" i="92" s="1"/>
  <c r="F23" i="92" s="1"/>
  <c r="F24" i="92" s="1"/>
  <c r="F25" i="92" s="1"/>
  <c r="F26" i="92" s="1"/>
  <c r="F27" i="92" s="1"/>
  <c r="F5" i="92"/>
  <c r="F6" i="92"/>
  <c r="F7" i="92"/>
  <c r="F8" i="92"/>
  <c r="F9" i="92"/>
  <c r="F10" i="92"/>
  <c r="F11" i="92"/>
  <c r="F12" i="92"/>
  <c r="F13" i="92"/>
  <c r="F14" i="92"/>
  <c r="F4" i="75"/>
  <c r="F5" i="75"/>
  <c r="F17" i="75"/>
  <c r="F18" i="75" s="1"/>
  <c r="F6" i="75"/>
  <c r="F7" i="75"/>
  <c r="F19" i="75"/>
  <c r="F20" i="75" s="1"/>
  <c r="F21" i="75" s="1"/>
  <c r="F22" i="75" s="1"/>
  <c r="F23" i="75" s="1"/>
  <c r="F24" i="75" s="1"/>
  <c r="F25" i="75" s="1"/>
  <c r="F26" i="75" s="1"/>
  <c r="F27" i="75" s="1"/>
  <c r="F8" i="75"/>
  <c r="F9" i="75"/>
  <c r="F10" i="75"/>
  <c r="F11" i="75"/>
  <c r="F12" i="75"/>
  <c r="F13" i="75"/>
  <c r="F14" i="75"/>
  <c r="F4" i="80"/>
  <c r="F5" i="80"/>
  <c r="F17" i="80" s="1"/>
  <c r="F18" i="80" s="1"/>
  <c r="F19" i="80" s="1"/>
  <c r="F20" i="80" s="1"/>
  <c r="F21" i="80" s="1"/>
  <c r="F22" i="80" s="1"/>
  <c r="F23" i="80" s="1"/>
  <c r="F24" i="80" s="1"/>
  <c r="F25" i="80" s="1"/>
  <c r="F26" i="80" s="1"/>
  <c r="F27" i="80" s="1"/>
  <c r="F6" i="80"/>
  <c r="F7" i="80"/>
  <c r="F8" i="80"/>
  <c r="F9" i="80"/>
  <c r="F10" i="80"/>
  <c r="F11" i="80"/>
  <c r="F12" i="80"/>
  <c r="F13" i="80"/>
  <c r="F14" i="80"/>
  <c r="F4" i="85"/>
  <c r="F17" i="85" s="1"/>
  <c r="F5" i="85"/>
  <c r="F6" i="85"/>
  <c r="F18" i="85"/>
  <c r="F19" i="85" s="1"/>
  <c r="F7" i="85"/>
  <c r="F8" i="85"/>
  <c r="F20" i="85"/>
  <c r="F21" i="85" s="1"/>
  <c r="F22" i="85" s="1"/>
  <c r="F23" i="85" s="1"/>
  <c r="F24" i="85" s="1"/>
  <c r="F25" i="85" s="1"/>
  <c r="F26" i="85" s="1"/>
  <c r="F27" i="85" s="1"/>
  <c r="F9" i="85"/>
  <c r="F10" i="85"/>
  <c r="F11" i="85"/>
  <c r="F12" i="85"/>
  <c r="F13" i="85"/>
  <c r="F14" i="85"/>
  <c r="F4" i="65"/>
  <c r="F17" i="65" s="1"/>
  <c r="F5" i="65"/>
  <c r="F6" i="65"/>
  <c r="F7" i="65"/>
  <c r="F8" i="65"/>
  <c r="F9" i="65"/>
  <c r="F10" i="65"/>
  <c r="F11" i="65"/>
  <c r="F12" i="65"/>
  <c r="F13" i="65"/>
  <c r="F14" i="65"/>
  <c r="F4" i="22"/>
  <c r="F5" i="22"/>
  <c r="F17" i="22"/>
  <c r="F18" i="22" s="1"/>
  <c r="F6" i="22"/>
  <c r="F7" i="22"/>
  <c r="F19" i="22"/>
  <c r="F20" i="22" s="1"/>
  <c r="F8" i="22"/>
  <c r="F9" i="22"/>
  <c r="F21" i="22"/>
  <c r="F22" i="22" s="1"/>
  <c r="F10" i="22"/>
  <c r="F11" i="22"/>
  <c r="F23" i="22"/>
  <c r="F24" i="22" s="1"/>
  <c r="F25" i="22" s="1"/>
  <c r="F26" i="22" s="1"/>
  <c r="F27" i="22" s="1"/>
  <c r="F12" i="22"/>
  <c r="F13" i="22"/>
  <c r="F14" i="22"/>
  <c r="B4" i="49"/>
  <c r="B5" i="49"/>
  <c r="B17" i="49" s="1"/>
  <c r="B18" i="49" s="1"/>
  <c r="B6" i="49"/>
  <c r="B7" i="49"/>
  <c r="B8" i="49"/>
  <c r="B9" i="49"/>
  <c r="B10" i="49"/>
  <c r="B11" i="49"/>
  <c r="B12" i="49"/>
  <c r="B13" i="49"/>
  <c r="B14" i="49"/>
  <c r="B4" i="42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5" i="42"/>
  <c r="B6" i="42"/>
  <c r="B7" i="42"/>
  <c r="B8" i="42"/>
  <c r="B9" i="42"/>
  <c r="B10" i="42"/>
  <c r="B11" i="42"/>
  <c r="B12" i="42"/>
  <c r="B13" i="42"/>
  <c r="B14" i="42"/>
  <c r="B4" i="92"/>
  <c r="B17" i="92" s="1"/>
  <c r="B18" i="92" s="1"/>
  <c r="B19" i="92" s="1"/>
  <c r="B20" i="92" s="1"/>
  <c r="B21" i="92" s="1"/>
  <c r="B22" i="92" s="1"/>
  <c r="B23" i="92" s="1"/>
  <c r="B24" i="92" s="1"/>
  <c r="B25" i="92" s="1"/>
  <c r="B26" i="92" s="1"/>
  <c r="B5" i="92"/>
  <c r="B6" i="92"/>
  <c r="B7" i="92"/>
  <c r="B8" i="92"/>
  <c r="B16" i="92" s="1"/>
  <c r="B9" i="92"/>
  <c r="B10" i="92"/>
  <c r="B11" i="92"/>
  <c r="B12" i="92"/>
  <c r="B13" i="92"/>
  <c r="B14" i="92"/>
  <c r="B17" i="75"/>
  <c r="B18" i="75" s="1"/>
  <c r="B19" i="75"/>
  <c r="B20" i="75" s="1"/>
  <c r="B21" i="75" s="1"/>
  <c r="B22" i="75" s="1"/>
  <c r="B23" i="75" s="1"/>
  <c r="B24" i="75" s="1"/>
  <c r="B25" i="75" s="1"/>
  <c r="B26" i="75" s="1"/>
  <c r="B27" i="75" s="1"/>
  <c r="B4" i="80"/>
  <c r="B5" i="80"/>
  <c r="B6" i="80"/>
  <c r="B7" i="80"/>
  <c r="B8" i="80"/>
  <c r="B9" i="80"/>
  <c r="B10" i="80"/>
  <c r="B11" i="80"/>
  <c r="B12" i="80"/>
  <c r="B13" i="80"/>
  <c r="B14" i="80"/>
  <c r="B4" i="85"/>
  <c r="B17" i="85" s="1"/>
  <c r="B5" i="85"/>
  <c r="B6" i="85"/>
  <c r="B16" i="85" s="1"/>
  <c r="B7" i="85"/>
  <c r="B8" i="85"/>
  <c r="B9" i="85"/>
  <c r="B10" i="85"/>
  <c r="B11" i="85"/>
  <c r="B12" i="85"/>
  <c r="B13" i="85"/>
  <c r="B14" i="85"/>
  <c r="B4" i="18"/>
  <c r="B5" i="18"/>
  <c r="B17" i="18"/>
  <c r="B18" i="18" s="1"/>
  <c r="B6" i="18"/>
  <c r="B7" i="18"/>
  <c r="B19" i="18"/>
  <c r="B20" i="18" s="1"/>
  <c r="B8" i="18"/>
  <c r="B9" i="18"/>
  <c r="B21" i="18"/>
  <c r="B22" i="18" s="1"/>
  <c r="B10" i="18"/>
  <c r="B11" i="18"/>
  <c r="B23" i="18"/>
  <c r="B24" i="18" s="1"/>
  <c r="B25" i="18" s="1"/>
  <c r="B26" i="18" s="1"/>
  <c r="B27" i="18" s="1"/>
  <c r="B12" i="18"/>
  <c r="B13" i="18"/>
  <c r="B14" i="18"/>
  <c r="K61" i="97"/>
  <c r="M16" i="42"/>
  <c r="K16" i="68"/>
  <c r="L16" i="68"/>
  <c r="M16" i="68"/>
  <c r="J17" i="75"/>
  <c r="J18" i="75"/>
  <c r="J19" i="75" s="1"/>
  <c r="J20" i="75" s="1"/>
  <c r="J21" i="75" s="1"/>
  <c r="J22" i="75" s="1"/>
  <c r="J23" i="75" s="1"/>
  <c r="J24" i="75" s="1"/>
  <c r="J25" i="75" s="1"/>
  <c r="J26" i="75" s="1"/>
  <c r="J27" i="75" s="1"/>
  <c r="F4" i="89"/>
  <c r="F17" i="89" s="1"/>
  <c r="F18" i="89" s="1"/>
  <c r="F19" i="89" s="1"/>
  <c r="F5" i="89"/>
  <c r="F6" i="89"/>
  <c r="F7" i="89"/>
  <c r="F8" i="89"/>
  <c r="F9" i="89"/>
  <c r="F10" i="89"/>
  <c r="F11" i="89"/>
  <c r="F12" i="89"/>
  <c r="F4" i="88"/>
  <c r="F5" i="88"/>
  <c r="F17" i="88"/>
  <c r="F18" i="88" s="1"/>
  <c r="F19" i="88" s="1"/>
  <c r="F20" i="88" s="1"/>
  <c r="F21" i="88" s="1"/>
  <c r="F22" i="88" s="1"/>
  <c r="F23" i="88" s="1"/>
  <c r="F24" i="88" s="1"/>
  <c r="F25" i="88" s="1"/>
  <c r="F26" i="88" s="1"/>
  <c r="F27" i="88" s="1"/>
  <c r="F6" i="88"/>
  <c r="F7" i="88"/>
  <c r="F8" i="88"/>
  <c r="F9" i="88"/>
  <c r="F10" i="88"/>
  <c r="F11" i="88"/>
  <c r="F12" i="88"/>
  <c r="B4" i="89"/>
  <c r="B5" i="89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6" i="89"/>
  <c r="B7" i="89"/>
  <c r="B8" i="89"/>
  <c r="B9" i="89"/>
  <c r="B10" i="89"/>
  <c r="B11" i="89"/>
  <c r="B12" i="89"/>
  <c r="B4" i="88"/>
  <c r="B5" i="88"/>
  <c r="B6" i="88"/>
  <c r="B7" i="88"/>
  <c r="B8" i="88"/>
  <c r="B9" i="88"/>
  <c r="B10" i="88"/>
  <c r="B11" i="88"/>
  <c r="B12" i="88"/>
  <c r="K14" i="97"/>
  <c r="K15" i="97"/>
  <c r="K16" i="97"/>
  <c r="K17" i="97"/>
  <c r="K18" i="97"/>
  <c r="K19" i="97"/>
  <c r="K20" i="97"/>
  <c r="K21" i="97"/>
  <c r="K22" i="97"/>
  <c r="K23" i="97"/>
  <c r="K24" i="97"/>
  <c r="K25" i="97"/>
  <c r="K26" i="97"/>
  <c r="K27" i="97"/>
  <c r="K28" i="97"/>
  <c r="K29" i="97"/>
  <c r="K30" i="97"/>
  <c r="K31" i="97"/>
  <c r="K32" i="97"/>
  <c r="K33" i="97"/>
  <c r="K34" i="97"/>
  <c r="K35" i="97"/>
  <c r="K36" i="97"/>
  <c r="K37" i="97"/>
  <c r="K41" i="97"/>
  <c r="K42" i="97"/>
  <c r="K43" i="97"/>
  <c r="K44" i="97"/>
  <c r="K45" i="97"/>
  <c r="K46" i="97"/>
  <c r="K47" i="97"/>
  <c r="K48" i="97"/>
  <c r="K49" i="97"/>
  <c r="K50" i="97"/>
  <c r="K52" i="97"/>
  <c r="K53" i="97"/>
  <c r="K54" i="97"/>
  <c r="K55" i="97"/>
  <c r="K7" i="97"/>
  <c r="K8" i="97"/>
  <c r="K9" i="97"/>
  <c r="K10" i="97"/>
  <c r="K11" i="97"/>
  <c r="K12" i="97"/>
  <c r="K57" i="97"/>
  <c r="K58" i="97"/>
  <c r="K59" i="97"/>
  <c r="K60" i="97"/>
  <c r="K62" i="97"/>
  <c r="K63" i="97"/>
  <c r="K66" i="97"/>
  <c r="K67" i="97"/>
  <c r="C13" i="97"/>
  <c r="C68" i="97" s="1"/>
  <c r="C6" i="97"/>
  <c r="C56" i="97"/>
  <c r="F67" i="97"/>
  <c r="F66" i="97"/>
  <c r="F62" i="97"/>
  <c r="F61" i="97"/>
  <c r="F60" i="97"/>
  <c r="F58" i="97"/>
  <c r="F55" i="97"/>
  <c r="F54" i="97"/>
  <c r="F50" i="97"/>
  <c r="F49" i="97"/>
  <c r="F48" i="97"/>
  <c r="F46" i="97"/>
  <c r="F45" i="97"/>
  <c r="F44" i="97"/>
  <c r="F42" i="97"/>
  <c r="F41" i="97"/>
  <c r="F40" i="97"/>
  <c r="F38" i="97"/>
  <c r="F37" i="97"/>
  <c r="F36" i="97"/>
  <c r="F34" i="97"/>
  <c r="F33" i="97"/>
  <c r="F32" i="97"/>
  <c r="F30" i="97"/>
  <c r="F29" i="97"/>
  <c r="F28" i="97"/>
  <c r="F26" i="97"/>
  <c r="F25" i="97"/>
  <c r="F24" i="97"/>
  <c r="F22" i="97"/>
  <c r="F21" i="97"/>
  <c r="F20" i="97"/>
  <c r="F18" i="97"/>
  <c r="F17" i="97"/>
  <c r="F16" i="97"/>
  <c r="F14" i="97"/>
  <c r="F12" i="97"/>
  <c r="F11" i="97"/>
  <c r="F9" i="97"/>
  <c r="F8" i="97"/>
  <c r="F7" i="97"/>
  <c r="F9" i="95"/>
  <c r="F8" i="95"/>
  <c r="L7" i="97"/>
  <c r="H7" i="97"/>
  <c r="H6" i="97" s="1"/>
  <c r="L8" i="97"/>
  <c r="H8" i="97"/>
  <c r="S8" i="97" s="1"/>
  <c r="L9" i="97"/>
  <c r="H9" i="97"/>
  <c r="S9" i="97" s="1"/>
  <c r="L10" i="97"/>
  <c r="H10" i="97"/>
  <c r="L11" i="97"/>
  <c r="H11" i="97"/>
  <c r="S11" i="97" s="1"/>
  <c r="L12" i="97"/>
  <c r="H12" i="97"/>
  <c r="S12" i="97" s="1"/>
  <c r="M7" i="97"/>
  <c r="I7" i="97" s="1"/>
  <c r="M8" i="97"/>
  <c r="I8" i="97" s="1"/>
  <c r="T8" i="97" s="1"/>
  <c r="M9" i="97"/>
  <c r="I9" i="97" s="1"/>
  <c r="T9" i="97" s="1"/>
  <c r="M10" i="97"/>
  <c r="I10" i="97" s="1"/>
  <c r="T10" i="97" s="1"/>
  <c r="M11" i="97"/>
  <c r="I11" i="97" s="1"/>
  <c r="M12" i="97"/>
  <c r="I12" i="97" s="1"/>
  <c r="T12" i="97" s="1"/>
  <c r="N7" i="97"/>
  <c r="J7" i="97"/>
  <c r="J6" i="97" s="1"/>
  <c r="N8" i="97"/>
  <c r="J8" i="97"/>
  <c r="N9" i="97"/>
  <c r="J9" i="97"/>
  <c r="N10" i="97"/>
  <c r="J10" i="97"/>
  <c r="N11" i="97"/>
  <c r="J11" i="97"/>
  <c r="N12" i="97"/>
  <c r="J12" i="97"/>
  <c r="K6" i="97"/>
  <c r="L6" i="97"/>
  <c r="M6" i="97"/>
  <c r="N6" i="97"/>
  <c r="S7" i="97"/>
  <c r="S6" i="97" s="1"/>
  <c r="U6" i="97"/>
  <c r="V6" i="97"/>
  <c r="W6" i="97"/>
  <c r="Y7" i="97"/>
  <c r="Y8" i="97"/>
  <c r="X8" i="97" s="1"/>
  <c r="Y9" i="97"/>
  <c r="Y10" i="97"/>
  <c r="Y12" i="97"/>
  <c r="Z7" i="97"/>
  <c r="Z8" i="97"/>
  <c r="Z9" i="97"/>
  <c r="Z10" i="97"/>
  <c r="Z12" i="97"/>
  <c r="AA6" i="97"/>
  <c r="AA7" i="97"/>
  <c r="AA8" i="97"/>
  <c r="AA9" i="97"/>
  <c r="AA10" i="97"/>
  <c r="AA11" i="97"/>
  <c r="AA12" i="97"/>
  <c r="X7" i="97"/>
  <c r="X9" i="97"/>
  <c r="S10" i="97"/>
  <c r="X10" i="97"/>
  <c r="T11" i="97"/>
  <c r="X12" i="97"/>
  <c r="L14" i="97"/>
  <c r="H14" i="97"/>
  <c r="H13" i="97" s="1"/>
  <c r="L15" i="97"/>
  <c r="H15" i="97"/>
  <c r="S15" i="97" s="1"/>
  <c r="L16" i="97"/>
  <c r="H16" i="97"/>
  <c r="L17" i="97"/>
  <c r="H17" i="97"/>
  <c r="S17" i="97" s="1"/>
  <c r="L18" i="97"/>
  <c r="H18" i="97"/>
  <c r="L19" i="97"/>
  <c r="H19" i="97"/>
  <c r="S19" i="97" s="1"/>
  <c r="L20" i="97"/>
  <c r="H20" i="97"/>
  <c r="S20" i="97" s="1"/>
  <c r="L21" i="97"/>
  <c r="H21" i="97"/>
  <c r="S21" i="97" s="1"/>
  <c r="L22" i="97"/>
  <c r="H22" i="97"/>
  <c r="L23" i="97"/>
  <c r="H23" i="97"/>
  <c r="S23" i="97" s="1"/>
  <c r="L24" i="97"/>
  <c r="H24" i="97"/>
  <c r="L25" i="97"/>
  <c r="H25" i="97"/>
  <c r="S25" i="97" s="1"/>
  <c r="L26" i="97"/>
  <c r="H26" i="97"/>
  <c r="L27" i="97"/>
  <c r="H27" i="97"/>
  <c r="S27" i="97" s="1"/>
  <c r="L28" i="97"/>
  <c r="H28" i="97"/>
  <c r="L29" i="97"/>
  <c r="H29" i="97"/>
  <c r="S29" i="97" s="1"/>
  <c r="L31" i="97"/>
  <c r="H31" i="97"/>
  <c r="L32" i="97"/>
  <c r="H32" i="97"/>
  <c r="S32" i="97" s="1"/>
  <c r="L33" i="97"/>
  <c r="H33" i="97"/>
  <c r="L34" i="97"/>
  <c r="H34" i="97"/>
  <c r="S34" i="97" s="1"/>
  <c r="L35" i="97"/>
  <c r="H35" i="97"/>
  <c r="L36" i="97"/>
  <c r="H36" i="97"/>
  <c r="L37" i="97"/>
  <c r="H37" i="97"/>
  <c r="L41" i="97"/>
  <c r="H41" i="97"/>
  <c r="L42" i="97"/>
  <c r="H42" i="97"/>
  <c r="L43" i="97"/>
  <c r="H43" i="97"/>
  <c r="S43" i="97" s="1"/>
  <c r="L44" i="97"/>
  <c r="H44" i="97"/>
  <c r="L45" i="97"/>
  <c r="H45" i="97"/>
  <c r="L46" i="97"/>
  <c r="H46" i="97"/>
  <c r="L47" i="97"/>
  <c r="H47" i="97"/>
  <c r="L48" i="97"/>
  <c r="H48" i="97"/>
  <c r="L49" i="97"/>
  <c r="H49" i="97"/>
  <c r="S49" i="97" s="1"/>
  <c r="L50" i="97"/>
  <c r="H50" i="97"/>
  <c r="L51" i="97"/>
  <c r="H51" i="97"/>
  <c r="S41" i="97" s="1"/>
  <c r="L52" i="97"/>
  <c r="H52" i="97"/>
  <c r="L53" i="97"/>
  <c r="H53" i="97"/>
  <c r="L54" i="97"/>
  <c r="H54" i="97"/>
  <c r="L55" i="97"/>
  <c r="H55" i="97"/>
  <c r="S55" i="97" s="1"/>
  <c r="M14" i="97"/>
  <c r="I14" i="97" s="1"/>
  <c r="I13" i="97" s="1"/>
  <c r="M15" i="97"/>
  <c r="I15" i="97" s="1"/>
  <c r="T15" i="97" s="1"/>
  <c r="M16" i="97"/>
  <c r="I16" i="97" s="1"/>
  <c r="T16" i="97" s="1"/>
  <c r="M17" i="97"/>
  <c r="I17" i="97" s="1"/>
  <c r="T17" i="97" s="1"/>
  <c r="M18" i="97"/>
  <c r="I18" i="97" s="1"/>
  <c r="T18" i="97" s="1"/>
  <c r="M19" i="97"/>
  <c r="I19" i="97" s="1"/>
  <c r="M20" i="97"/>
  <c r="I20" i="97" s="1"/>
  <c r="M21" i="97"/>
  <c r="I21" i="97" s="1"/>
  <c r="T21" i="97" s="1"/>
  <c r="M22" i="97"/>
  <c r="I22" i="97" s="1"/>
  <c r="T22" i="97" s="1"/>
  <c r="M23" i="97"/>
  <c r="I23" i="97" s="1"/>
  <c r="T23" i="97" s="1"/>
  <c r="M24" i="97"/>
  <c r="I24" i="97" s="1"/>
  <c r="T24" i="97" s="1"/>
  <c r="M25" i="97"/>
  <c r="I25" i="97" s="1"/>
  <c r="T25" i="97" s="1"/>
  <c r="M26" i="97"/>
  <c r="I26" i="97" s="1"/>
  <c r="T26" i="97" s="1"/>
  <c r="M27" i="97"/>
  <c r="I27" i="97" s="1"/>
  <c r="T27" i="97" s="1"/>
  <c r="M28" i="97"/>
  <c r="I28" i="97" s="1"/>
  <c r="T28" i="97" s="1"/>
  <c r="M29" i="97"/>
  <c r="I29" i="97" s="1"/>
  <c r="T29" i="97" s="1"/>
  <c r="M31" i="97"/>
  <c r="I31" i="97" s="1"/>
  <c r="T31" i="97" s="1"/>
  <c r="M32" i="97"/>
  <c r="I32" i="97" s="1"/>
  <c r="T32" i="97" s="1"/>
  <c r="M33" i="97"/>
  <c r="I33" i="97" s="1"/>
  <c r="T33" i="97" s="1"/>
  <c r="M34" i="97"/>
  <c r="I34" i="97" s="1"/>
  <c r="T34" i="97" s="1"/>
  <c r="M35" i="97"/>
  <c r="I35" i="97" s="1"/>
  <c r="T35" i="97" s="1"/>
  <c r="M36" i="97"/>
  <c r="I36" i="97" s="1"/>
  <c r="T36" i="97" s="1"/>
  <c r="M37" i="97"/>
  <c r="I37" i="97" s="1"/>
  <c r="T37" i="97" s="1"/>
  <c r="M41" i="97"/>
  <c r="I41" i="97" s="1"/>
  <c r="M42" i="97"/>
  <c r="I42" i="97" s="1"/>
  <c r="T42" i="97" s="1"/>
  <c r="M43" i="97"/>
  <c r="I43" i="97" s="1"/>
  <c r="T43" i="97" s="1"/>
  <c r="M44" i="97"/>
  <c r="I44" i="97" s="1"/>
  <c r="T44" i="97" s="1"/>
  <c r="M45" i="97"/>
  <c r="I45" i="97" s="1"/>
  <c r="T45" i="97" s="1"/>
  <c r="M46" i="97"/>
  <c r="I46" i="97" s="1"/>
  <c r="T46" i="97" s="1"/>
  <c r="M47" i="97"/>
  <c r="I47" i="97" s="1"/>
  <c r="M48" i="97"/>
  <c r="I48" i="97" s="1"/>
  <c r="T48" i="97" s="1"/>
  <c r="M49" i="97"/>
  <c r="I49" i="97" s="1"/>
  <c r="T49" i="97" s="1"/>
  <c r="M50" i="97"/>
  <c r="I50" i="97" s="1"/>
  <c r="T50" i="97" s="1"/>
  <c r="M51" i="97"/>
  <c r="I51" i="97" s="1"/>
  <c r="T41" i="97" s="1"/>
  <c r="M52" i="97"/>
  <c r="I52" i="97" s="1"/>
  <c r="T52" i="97" s="1"/>
  <c r="M53" i="97"/>
  <c r="I53" i="97" s="1"/>
  <c r="T53" i="97" s="1"/>
  <c r="M54" i="97"/>
  <c r="I54" i="97" s="1"/>
  <c r="T54" i="97" s="1"/>
  <c r="M55" i="97"/>
  <c r="I55" i="97" s="1"/>
  <c r="T55" i="97" s="1"/>
  <c r="N14" i="97"/>
  <c r="J14" i="97"/>
  <c r="J13" i="97" s="1"/>
  <c r="J68" i="97" s="1"/>
  <c r="N15" i="97"/>
  <c r="J15" i="97"/>
  <c r="N16" i="97"/>
  <c r="J16" i="97"/>
  <c r="N17" i="97"/>
  <c r="J17" i="97"/>
  <c r="N18" i="97"/>
  <c r="J18" i="97"/>
  <c r="N19" i="97"/>
  <c r="J19" i="97"/>
  <c r="N20" i="97"/>
  <c r="J20" i="97"/>
  <c r="N21" i="97"/>
  <c r="J21" i="97"/>
  <c r="N22" i="97"/>
  <c r="J22" i="97"/>
  <c r="N23" i="97"/>
  <c r="J23" i="97"/>
  <c r="N24" i="97"/>
  <c r="J24" i="97"/>
  <c r="N25" i="97"/>
  <c r="J25" i="97"/>
  <c r="N26" i="97"/>
  <c r="J26" i="97"/>
  <c r="N27" i="97"/>
  <c r="J27" i="97"/>
  <c r="N28" i="97"/>
  <c r="J28" i="97"/>
  <c r="N29" i="97"/>
  <c r="J29" i="97"/>
  <c r="N31" i="97"/>
  <c r="J31" i="97" s="1"/>
  <c r="N32" i="97"/>
  <c r="J32" i="97" s="1"/>
  <c r="N33" i="97"/>
  <c r="J33" i="97" s="1"/>
  <c r="N34" i="97"/>
  <c r="J34" i="97" s="1"/>
  <c r="N35" i="97"/>
  <c r="J35" i="97" s="1"/>
  <c r="N36" i="97"/>
  <c r="J36" i="97" s="1"/>
  <c r="N37" i="97"/>
  <c r="J37" i="97" s="1"/>
  <c r="N41" i="97"/>
  <c r="J41" i="97" s="1"/>
  <c r="N42" i="97"/>
  <c r="J42" i="97" s="1"/>
  <c r="N43" i="97"/>
  <c r="J43" i="97" s="1"/>
  <c r="N44" i="97"/>
  <c r="J44" i="97" s="1"/>
  <c r="N45" i="97"/>
  <c r="J45" i="97" s="1"/>
  <c r="N46" i="97"/>
  <c r="J46" i="97" s="1"/>
  <c r="N47" i="97"/>
  <c r="J47" i="97" s="1"/>
  <c r="N48" i="97"/>
  <c r="J48" i="97" s="1"/>
  <c r="N49" i="97"/>
  <c r="J49" i="97" s="1"/>
  <c r="N50" i="97"/>
  <c r="J50" i="97" s="1"/>
  <c r="N51" i="97"/>
  <c r="J51" i="97" s="1"/>
  <c r="N52" i="97"/>
  <c r="J52" i="97" s="1"/>
  <c r="N53" i="97"/>
  <c r="J53" i="97" s="1"/>
  <c r="N54" i="97"/>
  <c r="J54" i="97" s="1"/>
  <c r="N55" i="97"/>
  <c r="J55" i="97" s="1"/>
  <c r="K51" i="97"/>
  <c r="K13" i="97"/>
  <c r="L13" i="97"/>
  <c r="M13" i="97"/>
  <c r="N13" i="97"/>
  <c r="S14" i="97"/>
  <c r="S13" i="97" s="1"/>
  <c r="T14" i="97"/>
  <c r="T13" i="97" s="1"/>
  <c r="U13" i="97"/>
  <c r="U68" i="97" s="1"/>
  <c r="V13" i="97"/>
  <c r="W13" i="97"/>
  <c r="W68" i="97" s="1"/>
  <c r="Y14" i="97"/>
  <c r="Y15" i="97"/>
  <c r="X15" i="97" s="1"/>
  <c r="Y16" i="97"/>
  <c r="Y17" i="97"/>
  <c r="X17" i="97" s="1"/>
  <c r="Y19" i="97"/>
  <c r="X19" i="97" s="1"/>
  <c r="Y22" i="97"/>
  <c r="Y23" i="97"/>
  <c r="Y25" i="97"/>
  <c r="X25" i="97" s="1"/>
  <c r="Y26" i="97"/>
  <c r="Y27" i="97"/>
  <c r="Y28" i="97"/>
  <c r="Y29" i="97"/>
  <c r="Y30" i="97"/>
  <c r="Y31" i="97"/>
  <c r="Y32" i="97"/>
  <c r="Y33" i="97"/>
  <c r="X33" i="97" s="1"/>
  <c r="Y34" i="97"/>
  <c r="Y35" i="97"/>
  <c r="Y36" i="97"/>
  <c r="Y37" i="97"/>
  <c r="X37" i="97" s="1"/>
  <c r="Y41" i="97"/>
  <c r="Y42" i="97"/>
  <c r="Y43" i="97"/>
  <c r="Y44" i="97"/>
  <c r="X44" i="97" s="1"/>
  <c r="Y45" i="97"/>
  <c r="Y48" i="97"/>
  <c r="Y49" i="97"/>
  <c r="Y51" i="97"/>
  <c r="Y53" i="97"/>
  <c r="Z15" i="97"/>
  <c r="Z16" i="97"/>
  <c r="Z17" i="97"/>
  <c r="Z18" i="97"/>
  <c r="Z19" i="97"/>
  <c r="Z22" i="97"/>
  <c r="Z23" i="97"/>
  <c r="Z24" i="97"/>
  <c r="Z25" i="97"/>
  <c r="Z26" i="97"/>
  <c r="Z27" i="97"/>
  <c r="Z28" i="97"/>
  <c r="Z29" i="97"/>
  <c r="Z30" i="97"/>
  <c r="Z31" i="97"/>
  <c r="Z32" i="97"/>
  <c r="Z33" i="97"/>
  <c r="Z34" i="97"/>
  <c r="Z35" i="97"/>
  <c r="Z36" i="97"/>
  <c r="Z37" i="97"/>
  <c r="Z41" i="97"/>
  <c r="Z42" i="97"/>
  <c r="Z43" i="97"/>
  <c r="Z44" i="97"/>
  <c r="Z45" i="97"/>
  <c r="Z46" i="97"/>
  <c r="Z48" i="97"/>
  <c r="Z49" i="97"/>
  <c r="Z52" i="97"/>
  <c r="Z53" i="97"/>
  <c r="AA19" i="97"/>
  <c r="AA22" i="97"/>
  <c r="AB22" i="97" s="1"/>
  <c r="AA23" i="97"/>
  <c r="AA24" i="97"/>
  <c r="AB24" i="97" s="1"/>
  <c r="AA25" i="97"/>
  <c r="AA26" i="97"/>
  <c r="AB26" i="97" s="1"/>
  <c r="AA27" i="97"/>
  <c r="AA28" i="97"/>
  <c r="AB28" i="97" s="1"/>
  <c r="AA29" i="97"/>
  <c r="AA30" i="97"/>
  <c r="AB30" i="97" s="1"/>
  <c r="AA31" i="97"/>
  <c r="AA32" i="97"/>
  <c r="AB32" i="97" s="1"/>
  <c r="AA33" i="97"/>
  <c r="AA34" i="97"/>
  <c r="AB34" i="97" s="1"/>
  <c r="AA35" i="97"/>
  <c r="AA36" i="97"/>
  <c r="AB36" i="97" s="1"/>
  <c r="AA37" i="97"/>
  <c r="AA41" i="97"/>
  <c r="AB41" i="97" s="1"/>
  <c r="AA42" i="97"/>
  <c r="AA43" i="97"/>
  <c r="AB43" i="97" s="1"/>
  <c r="AA44" i="97"/>
  <c r="AA45" i="97"/>
  <c r="AB45" i="97" s="1"/>
  <c r="AA46" i="97"/>
  <c r="AA47" i="97"/>
  <c r="AB47" i="97" s="1"/>
  <c r="AA48" i="97"/>
  <c r="AA51" i="97"/>
  <c r="AB51" i="97" s="1"/>
  <c r="AA53" i="97"/>
  <c r="AB53" i="97" s="1"/>
  <c r="AA54" i="97"/>
  <c r="X14" i="97"/>
  <c r="S16" i="97"/>
  <c r="X16" i="97"/>
  <c r="S18" i="97"/>
  <c r="T19" i="97"/>
  <c r="AB19" i="97"/>
  <c r="T20" i="97"/>
  <c r="S22" i="97"/>
  <c r="X22" i="97"/>
  <c r="X23" i="97"/>
  <c r="AB23" i="97"/>
  <c r="S24" i="97"/>
  <c r="S26" i="97"/>
  <c r="X26" i="97"/>
  <c r="X27" i="97"/>
  <c r="AB27" i="97"/>
  <c r="S28" i="97"/>
  <c r="X28" i="97"/>
  <c r="X29" i="97"/>
  <c r="S30" i="97"/>
  <c r="T30" i="97"/>
  <c r="X30" i="97"/>
  <c r="S31" i="97"/>
  <c r="X31" i="97"/>
  <c r="AB31" i="97"/>
  <c r="X32" i="97"/>
  <c r="S33" i="97"/>
  <c r="X34" i="97"/>
  <c r="S35" i="97"/>
  <c r="X35" i="97"/>
  <c r="AB35" i="97"/>
  <c r="S36" i="97"/>
  <c r="X36" i="97"/>
  <c r="S37" i="97"/>
  <c r="X38" i="97"/>
  <c r="AB38" i="97"/>
  <c r="X39" i="97"/>
  <c r="AB39" i="97"/>
  <c r="X40" i="97"/>
  <c r="AB40" i="97"/>
  <c r="X41" i="97"/>
  <c r="S42" i="97"/>
  <c r="X42" i="97"/>
  <c r="AB42" i="97"/>
  <c r="X43" i="97"/>
  <c r="S44" i="97"/>
  <c r="AB44" i="97"/>
  <c r="S45" i="97"/>
  <c r="X45" i="97"/>
  <c r="S46" i="97"/>
  <c r="AB46" i="97"/>
  <c r="S47" i="97"/>
  <c r="T47" i="97"/>
  <c r="S48" i="97"/>
  <c r="X48" i="97"/>
  <c r="AB48" i="97"/>
  <c r="X49" i="97"/>
  <c r="S50" i="97"/>
  <c r="S51" i="97"/>
  <c r="T51" i="97"/>
  <c r="X51" i="97"/>
  <c r="S52" i="97"/>
  <c r="S53" i="97"/>
  <c r="X53" i="97"/>
  <c r="S54" i="97"/>
  <c r="AB54" i="97"/>
  <c r="L57" i="97"/>
  <c r="H57" i="97" s="1"/>
  <c r="L58" i="97"/>
  <c r="H58" i="97" s="1"/>
  <c r="S58" i="97" s="1"/>
  <c r="L59" i="97"/>
  <c r="H59" i="97" s="1"/>
  <c r="S59" i="97" s="1"/>
  <c r="L60" i="97"/>
  <c r="H60" i="97" s="1"/>
  <c r="S60" i="97" s="1"/>
  <c r="L61" i="97"/>
  <c r="H61" i="97" s="1"/>
  <c r="S61" i="97" s="1"/>
  <c r="L62" i="97"/>
  <c r="H62" i="97" s="1"/>
  <c r="S62" i="97" s="1"/>
  <c r="L63" i="97"/>
  <c r="H63" i="97" s="1"/>
  <c r="S63" i="97" s="1"/>
  <c r="L66" i="97"/>
  <c r="H66" i="97" s="1"/>
  <c r="S66" i="97" s="1"/>
  <c r="H67" i="97"/>
  <c r="M57" i="97"/>
  <c r="I57" i="97" s="1"/>
  <c r="M58" i="97"/>
  <c r="I58" i="97" s="1"/>
  <c r="T58" i="97" s="1"/>
  <c r="M59" i="97"/>
  <c r="I59" i="97" s="1"/>
  <c r="M60" i="97"/>
  <c r="I60" i="97" s="1"/>
  <c r="M61" i="97"/>
  <c r="I61" i="97" s="1"/>
  <c r="T61" i="97" s="1"/>
  <c r="M62" i="97"/>
  <c r="I62" i="97" s="1"/>
  <c r="T62" i="97" s="1"/>
  <c r="M63" i="97"/>
  <c r="I63" i="97" s="1"/>
  <c r="M66" i="97"/>
  <c r="I66" i="97" s="1"/>
  <c r="I67" i="97"/>
  <c r="N57" i="97"/>
  <c r="J57" i="97" s="1"/>
  <c r="J56" i="97" s="1"/>
  <c r="N58" i="97"/>
  <c r="J58" i="97" s="1"/>
  <c r="N59" i="97"/>
  <c r="J59" i="97" s="1"/>
  <c r="N60" i="97"/>
  <c r="J60" i="97" s="1"/>
  <c r="N61" i="97"/>
  <c r="J61" i="97" s="1"/>
  <c r="N62" i="97"/>
  <c r="J62" i="97" s="1"/>
  <c r="N63" i="97"/>
  <c r="J63" i="97" s="1"/>
  <c r="N66" i="97"/>
  <c r="J66" i="97" s="1"/>
  <c r="J67" i="97"/>
  <c r="K56" i="97"/>
  <c r="L67" i="97"/>
  <c r="L56" i="97"/>
  <c r="L68" i="97" s="1"/>
  <c r="M67" i="97"/>
  <c r="N67" i="97"/>
  <c r="N56" i="97"/>
  <c r="O56" i="97"/>
  <c r="P56" i="97"/>
  <c r="Q56" i="97"/>
  <c r="R56" i="97"/>
  <c r="U56" i="97"/>
  <c r="V56" i="97"/>
  <c r="V68" i="97" s="1"/>
  <c r="W56" i="97"/>
  <c r="Y66" i="97"/>
  <c r="Z66" i="97"/>
  <c r="Z67" i="97"/>
  <c r="AA58" i="97"/>
  <c r="AA60" i="97"/>
  <c r="AA62" i="97"/>
  <c r="AA67" i="97"/>
  <c r="X58" i="97"/>
  <c r="T59" i="97"/>
  <c r="X59" i="97"/>
  <c r="T60" i="97"/>
  <c r="X60" i="97"/>
  <c r="X61" i="97"/>
  <c r="X62" i="97"/>
  <c r="T63" i="97"/>
  <c r="X63" i="97"/>
  <c r="T66" i="97"/>
  <c r="X66" i="97"/>
  <c r="S67" i="97"/>
  <c r="T67" i="97"/>
  <c r="N68" i="97"/>
  <c r="O68" i="97"/>
  <c r="P68" i="97"/>
  <c r="Q68" i="97"/>
  <c r="R68" i="97"/>
  <c r="B15" i="18"/>
  <c r="B15" i="11"/>
  <c r="B15" i="79"/>
  <c r="B15" i="17"/>
  <c r="B15" i="77"/>
  <c r="AD13" i="97"/>
  <c r="AE13" i="97"/>
  <c r="AF13" i="97"/>
  <c r="AG13" i="97"/>
  <c r="AH13" i="97"/>
  <c r="AK13" i="97" s="1"/>
  <c r="AI13" i="97"/>
  <c r="AJ13" i="97"/>
  <c r="AL13" i="97"/>
  <c r="AM13" i="97"/>
  <c r="AN13" i="97"/>
  <c r="AO13" i="97"/>
  <c r="G14" i="97"/>
  <c r="G16" i="97"/>
  <c r="G17" i="97"/>
  <c r="G18" i="97"/>
  <c r="G20" i="97"/>
  <c r="G22" i="97"/>
  <c r="G24" i="97"/>
  <c r="G26" i="97"/>
  <c r="G28" i="97"/>
  <c r="G30" i="97"/>
  <c r="G32" i="97"/>
  <c r="G34" i="97"/>
  <c r="G36" i="97"/>
  <c r="G41" i="97"/>
  <c r="G42" i="97"/>
  <c r="G44" i="97"/>
  <c r="G45" i="97"/>
  <c r="G46" i="97"/>
  <c r="G48" i="97"/>
  <c r="G49" i="97"/>
  <c r="G50" i="97"/>
  <c r="G54" i="97"/>
  <c r="G55" i="97"/>
  <c r="B13" i="88"/>
  <c r="B14" i="88"/>
  <c r="B15" i="88"/>
  <c r="B13" i="89"/>
  <c r="B14" i="89"/>
  <c r="B15" i="89"/>
  <c r="B15" i="22"/>
  <c r="B15" i="65"/>
  <c r="B15" i="85"/>
  <c r="B15" i="80"/>
  <c r="B15" i="92"/>
  <c r="B15" i="42"/>
  <c r="B15" i="49"/>
  <c r="C46" i="95"/>
  <c r="F49" i="95"/>
  <c r="F48" i="95"/>
  <c r="F45" i="95"/>
  <c r="F44" i="95"/>
  <c r="F43" i="95"/>
  <c r="F41" i="95"/>
  <c r="F40" i="95"/>
  <c r="F39" i="95"/>
  <c r="F37" i="95"/>
  <c r="F35" i="95"/>
  <c r="F33" i="95"/>
  <c r="F32" i="95"/>
  <c r="F30" i="95"/>
  <c r="F28" i="95"/>
  <c r="F26" i="95"/>
  <c r="F25" i="95"/>
  <c r="F23" i="95"/>
  <c r="F22" i="95"/>
  <c r="F21" i="95"/>
  <c r="F18" i="95"/>
  <c r="F17" i="95"/>
  <c r="F16" i="95"/>
  <c r="F14" i="95"/>
  <c r="F13" i="95"/>
  <c r="G8" i="95"/>
  <c r="G11" i="95"/>
  <c r="I12" i="95"/>
  <c r="J12" i="95"/>
  <c r="K12" i="95"/>
  <c r="L12" i="95"/>
  <c r="M12" i="95"/>
  <c r="P12" i="95" s="1"/>
  <c r="N12" i="95"/>
  <c r="O12" i="95"/>
  <c r="Q12" i="95"/>
  <c r="R12" i="95"/>
  <c r="S12" i="95"/>
  <c r="T12" i="95"/>
  <c r="G19" i="95"/>
  <c r="G26" i="95"/>
  <c r="G32" i="95"/>
  <c r="G45" i="95"/>
  <c r="D52" i="95"/>
  <c r="D46" i="94"/>
  <c r="L43" i="94"/>
  <c r="L39" i="94"/>
  <c r="L34" i="94"/>
  <c r="L32" i="94"/>
  <c r="L30" i="94"/>
  <c r="L28" i="94"/>
  <c r="L25" i="94"/>
  <c r="H6" i="94"/>
  <c r="H44" i="94"/>
  <c r="H43" i="94"/>
  <c r="H40" i="94"/>
  <c r="H39" i="94"/>
  <c r="H38" i="94"/>
  <c r="H36" i="94"/>
  <c r="H35" i="94"/>
  <c r="H34" i="94"/>
  <c r="H32" i="94"/>
  <c r="H28" i="94"/>
  <c r="H23" i="94"/>
  <c r="H21" i="94"/>
  <c r="H19" i="94"/>
  <c r="H18" i="94"/>
  <c r="H17" i="94"/>
  <c r="H16" i="94"/>
  <c r="H13" i="94"/>
  <c r="H11" i="94"/>
  <c r="H10" i="94"/>
  <c r="H9" i="94"/>
  <c r="H7" i="94"/>
  <c r="F7" i="94"/>
  <c r="F8" i="94"/>
  <c r="G8" i="94" s="1"/>
  <c r="F9" i="94"/>
  <c r="F10" i="94"/>
  <c r="F11" i="94"/>
  <c r="F6" i="94"/>
  <c r="I7" i="94"/>
  <c r="I6" i="94" s="1"/>
  <c r="I8" i="94"/>
  <c r="I9" i="94"/>
  <c r="I10" i="94"/>
  <c r="I11" i="94"/>
  <c r="J7" i="94"/>
  <c r="J6" i="94" s="1"/>
  <c r="J8" i="94"/>
  <c r="J9" i="94"/>
  <c r="J10" i="94"/>
  <c r="J11" i="94"/>
  <c r="K7" i="94"/>
  <c r="K6" i="94" s="1"/>
  <c r="K48" i="94" s="1"/>
  <c r="K8" i="94"/>
  <c r="K9" i="94"/>
  <c r="K10" i="94"/>
  <c r="K11" i="94"/>
  <c r="F13" i="94"/>
  <c r="F14" i="94"/>
  <c r="F15" i="94"/>
  <c r="F16" i="94"/>
  <c r="F17" i="94"/>
  <c r="F18" i="94"/>
  <c r="F19" i="94"/>
  <c r="F21" i="94"/>
  <c r="F22" i="94"/>
  <c r="F23" i="94"/>
  <c r="F25" i="94"/>
  <c r="G25" i="94" s="1"/>
  <c r="F28" i="94"/>
  <c r="G28" i="94" s="1"/>
  <c r="F30" i="94"/>
  <c r="F32" i="94"/>
  <c r="G32" i="94" s="1"/>
  <c r="F34" i="94"/>
  <c r="G34" i="94" s="1"/>
  <c r="F36" i="94"/>
  <c r="F37" i="94"/>
  <c r="F38" i="94"/>
  <c r="F39" i="94"/>
  <c r="F40" i="94"/>
  <c r="F42" i="94"/>
  <c r="F43" i="94"/>
  <c r="F44" i="94"/>
  <c r="I13" i="94"/>
  <c r="I12" i="94" s="1"/>
  <c r="I48" i="94" s="1"/>
  <c r="I14" i="94"/>
  <c r="I15" i="94"/>
  <c r="I16" i="94"/>
  <c r="I17" i="94"/>
  <c r="I18" i="94"/>
  <c r="I19" i="94"/>
  <c r="I20" i="94"/>
  <c r="I21" i="94"/>
  <c r="I22" i="94"/>
  <c r="I23" i="94"/>
  <c r="I24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J13" i="94"/>
  <c r="J12" i="94" s="1"/>
  <c r="J48" i="94" s="1"/>
  <c r="J14" i="94"/>
  <c r="J15" i="94"/>
  <c r="J16" i="94"/>
  <c r="J17" i="94"/>
  <c r="J18" i="94"/>
  <c r="J19" i="94"/>
  <c r="J20" i="94"/>
  <c r="J21" i="94"/>
  <c r="J22" i="94"/>
  <c r="J23" i="94"/>
  <c r="J24" i="94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K13" i="94"/>
  <c r="K12" i="94" s="1"/>
  <c r="K14" i="94"/>
  <c r="K15" i="94"/>
  <c r="K16" i="94"/>
  <c r="K17" i="94"/>
  <c r="K18" i="94"/>
  <c r="K19" i="94"/>
  <c r="K20" i="94"/>
  <c r="K21" i="94"/>
  <c r="K22" i="94"/>
  <c r="K23" i="94"/>
  <c r="K24" i="94"/>
  <c r="K25" i="94"/>
  <c r="K26" i="94"/>
  <c r="K27" i="94"/>
  <c r="K28" i="94"/>
  <c r="K29" i="94"/>
  <c r="K30" i="94"/>
  <c r="K31" i="94"/>
  <c r="K32" i="94"/>
  <c r="K33" i="94"/>
  <c r="K34" i="94"/>
  <c r="K35" i="94"/>
  <c r="K36" i="94"/>
  <c r="K37" i="94"/>
  <c r="K38" i="94"/>
  <c r="K39" i="94"/>
  <c r="K40" i="94"/>
  <c r="K41" i="94"/>
  <c r="K42" i="94"/>
  <c r="K43" i="94"/>
  <c r="K44" i="94"/>
  <c r="K45" i="94"/>
  <c r="G30" i="94"/>
  <c r="G35" i="94"/>
  <c r="G39" i="94"/>
  <c r="G42" i="94"/>
  <c r="G43" i="94"/>
  <c r="I47" i="94"/>
  <c r="I46" i="94" s="1"/>
  <c r="J47" i="94"/>
  <c r="J46" i="94" s="1"/>
  <c r="K47" i="94"/>
  <c r="K46" i="94" s="1"/>
  <c r="M16" i="8"/>
  <c r="I16" i="8"/>
  <c r="E16" i="8"/>
  <c r="M16" i="2"/>
  <c r="I16" i="2"/>
  <c r="E16" i="2"/>
  <c r="H18" i="28"/>
  <c r="I16" i="24"/>
  <c r="H16" i="24"/>
  <c r="G16" i="24"/>
  <c r="M16" i="49"/>
  <c r="I16" i="49"/>
  <c r="M16" i="70"/>
  <c r="I16" i="70"/>
  <c r="E16" i="70"/>
  <c r="M16" i="71"/>
  <c r="I16" i="71"/>
  <c r="E16" i="71"/>
  <c r="M16" i="79"/>
  <c r="I16" i="79"/>
  <c r="F13" i="89"/>
  <c r="F14" i="89"/>
  <c r="F15" i="89"/>
  <c r="B16" i="89"/>
  <c r="C16" i="89"/>
  <c r="D16" i="89"/>
  <c r="G16" i="89"/>
  <c r="H16" i="89"/>
  <c r="J16" i="89"/>
  <c r="K16" i="89"/>
  <c r="L16" i="89"/>
  <c r="F13" i="88"/>
  <c r="F16" i="88" s="1"/>
  <c r="F14" i="88"/>
  <c r="F15" i="88"/>
  <c r="C16" i="88"/>
  <c r="D16" i="88"/>
  <c r="G16" i="88"/>
  <c r="H16" i="88"/>
  <c r="J16" i="88"/>
  <c r="K16" i="88"/>
  <c r="L16" i="88"/>
  <c r="M16" i="88"/>
  <c r="F15" i="85"/>
  <c r="C16" i="85"/>
  <c r="D16" i="85"/>
  <c r="E16" i="85"/>
  <c r="F16" i="85"/>
  <c r="G16" i="85"/>
  <c r="H16" i="85"/>
  <c r="I16" i="85"/>
  <c r="J16" i="85"/>
  <c r="K16" i="85"/>
  <c r="L16" i="85"/>
  <c r="M16" i="85"/>
  <c r="F15" i="80"/>
  <c r="C16" i="80"/>
  <c r="D16" i="80"/>
  <c r="G16" i="80"/>
  <c r="H16" i="80"/>
  <c r="J16" i="80"/>
  <c r="K16" i="80"/>
  <c r="L16" i="80"/>
  <c r="M16" i="80"/>
  <c r="C16" i="79"/>
  <c r="D16" i="79"/>
  <c r="F16" i="79"/>
  <c r="G16" i="79"/>
  <c r="H16" i="79"/>
  <c r="J16" i="79"/>
  <c r="K16" i="79"/>
  <c r="L16" i="79"/>
  <c r="C17" i="79"/>
  <c r="C18" i="79" s="1"/>
  <c r="C19" i="79" s="1"/>
  <c r="C20" i="79" s="1"/>
  <c r="C21" i="79" s="1"/>
  <c r="C22" i="79" s="1"/>
  <c r="C23" i="79" s="1"/>
  <c r="C24" i="79" s="1"/>
  <c r="C25" i="79" s="1"/>
  <c r="C26" i="79" s="1"/>
  <c r="C27" i="79" s="1"/>
  <c r="D17" i="79"/>
  <c r="D18" i="79" s="1"/>
  <c r="D19" i="79" s="1"/>
  <c r="D20" i="79" s="1"/>
  <c r="D21" i="79" s="1"/>
  <c r="D22" i="79" s="1"/>
  <c r="D23" i="79" s="1"/>
  <c r="D24" i="79" s="1"/>
  <c r="D25" i="79" s="1"/>
  <c r="D26" i="79" s="1"/>
  <c r="D27" i="79" s="1"/>
  <c r="F15" i="77"/>
  <c r="B16" i="77"/>
  <c r="C16" i="77"/>
  <c r="D16" i="77"/>
  <c r="G16" i="77"/>
  <c r="H16" i="77"/>
  <c r="J16" i="77"/>
  <c r="K16" i="77"/>
  <c r="L16" i="77"/>
  <c r="M16" i="77"/>
  <c r="F15" i="92"/>
  <c r="C16" i="92"/>
  <c r="D16" i="92"/>
  <c r="G16" i="92"/>
  <c r="H16" i="92"/>
  <c r="J16" i="92"/>
  <c r="K16" i="92"/>
  <c r="L16" i="92"/>
  <c r="M16" i="92"/>
  <c r="F15" i="75"/>
  <c r="C16" i="75"/>
  <c r="D16" i="75"/>
  <c r="G16" i="75"/>
  <c r="H16" i="75"/>
  <c r="J16" i="75"/>
  <c r="K16" i="75"/>
  <c r="L16" i="75"/>
  <c r="B16" i="74"/>
  <c r="C16" i="74"/>
  <c r="D16" i="74"/>
  <c r="E16" i="74"/>
  <c r="F16" i="74"/>
  <c r="G16" i="74"/>
  <c r="H16" i="74"/>
  <c r="I16" i="74"/>
  <c r="J16" i="74"/>
  <c r="K16" i="74"/>
  <c r="L16" i="74"/>
  <c r="M16" i="74"/>
  <c r="B16" i="72"/>
  <c r="C16" i="72"/>
  <c r="D16" i="72"/>
  <c r="E16" i="72"/>
  <c r="F16" i="72"/>
  <c r="G16" i="72"/>
  <c r="H16" i="72"/>
  <c r="J16" i="72"/>
  <c r="K16" i="72"/>
  <c r="L16" i="72"/>
  <c r="M16" i="72"/>
  <c r="B16" i="71"/>
  <c r="C16" i="71"/>
  <c r="D16" i="71"/>
  <c r="F16" i="71"/>
  <c r="G16" i="71"/>
  <c r="H16" i="71"/>
  <c r="J16" i="71"/>
  <c r="K16" i="71"/>
  <c r="L16" i="71"/>
  <c r="B16" i="70"/>
  <c r="C16" i="70"/>
  <c r="D16" i="70"/>
  <c r="F16" i="70"/>
  <c r="G16" i="70"/>
  <c r="H16" i="70"/>
  <c r="J16" i="70"/>
  <c r="K16" i="70"/>
  <c r="L16" i="70"/>
  <c r="C16" i="68"/>
  <c r="D16" i="68"/>
  <c r="E16" i="68"/>
  <c r="F16" i="68"/>
  <c r="G16" i="68"/>
  <c r="H16" i="68"/>
  <c r="I16" i="68"/>
  <c r="B16" i="66"/>
  <c r="C16" i="66"/>
  <c r="E16" i="66"/>
  <c r="F16" i="66"/>
  <c r="G16" i="66"/>
  <c r="I16" i="66"/>
  <c r="J16" i="66"/>
  <c r="K16" i="66"/>
  <c r="M16" i="66"/>
  <c r="F15" i="65"/>
  <c r="B16" i="65"/>
  <c r="C16" i="65"/>
  <c r="D16" i="65"/>
  <c r="G16" i="65"/>
  <c r="H16" i="65"/>
  <c r="J16" i="65"/>
  <c r="K16" i="65"/>
  <c r="L16" i="65"/>
  <c r="M16" i="65"/>
  <c r="B16" i="63"/>
  <c r="C16" i="63"/>
  <c r="D16" i="63"/>
  <c r="E16" i="63"/>
  <c r="F16" i="63"/>
  <c r="G16" i="63"/>
  <c r="H16" i="63"/>
  <c r="I16" i="63"/>
  <c r="J16" i="63"/>
  <c r="K16" i="63"/>
  <c r="L16" i="63"/>
  <c r="M16" i="63"/>
  <c r="B16" i="62"/>
  <c r="C16" i="62"/>
  <c r="D16" i="62"/>
  <c r="E16" i="62"/>
  <c r="F16" i="62"/>
  <c r="G16" i="62"/>
  <c r="H16" i="62"/>
  <c r="I16" i="62"/>
  <c r="J16" i="62"/>
  <c r="K16" i="62"/>
  <c r="L16" i="62"/>
  <c r="M16" i="62"/>
  <c r="B16" i="57"/>
  <c r="C16" i="57"/>
  <c r="D16" i="57"/>
  <c r="E16" i="57"/>
  <c r="F16" i="57"/>
  <c r="G16" i="57"/>
  <c r="H16" i="57"/>
  <c r="I16" i="57"/>
  <c r="J16" i="57"/>
  <c r="K16" i="57"/>
  <c r="L16" i="57"/>
  <c r="M16" i="57"/>
  <c r="B16" i="49"/>
  <c r="C16" i="49"/>
  <c r="D16" i="49"/>
  <c r="F16" i="49"/>
  <c r="G16" i="49"/>
  <c r="H16" i="49"/>
  <c r="J16" i="49"/>
  <c r="K16" i="49"/>
  <c r="L16" i="49"/>
  <c r="B16" i="44"/>
  <c r="C16" i="44"/>
  <c r="D16" i="44"/>
  <c r="E16" i="44"/>
  <c r="F16" i="44"/>
  <c r="G16" i="44"/>
  <c r="H16" i="44"/>
  <c r="I16" i="44"/>
  <c r="J16" i="44"/>
  <c r="K16" i="44"/>
  <c r="L16" i="44"/>
  <c r="M16" i="44"/>
  <c r="C16" i="42"/>
  <c r="D16" i="42"/>
  <c r="F16" i="42"/>
  <c r="G16" i="42"/>
  <c r="H16" i="42"/>
  <c r="I16" i="42"/>
  <c r="J16" i="42"/>
  <c r="K16" i="42"/>
  <c r="L16" i="42"/>
  <c r="B16" i="24"/>
  <c r="C16" i="24"/>
  <c r="D16" i="24"/>
  <c r="E16" i="24"/>
  <c r="F16" i="24"/>
  <c r="J16" i="24"/>
  <c r="K16" i="24"/>
  <c r="L16" i="24"/>
  <c r="M16" i="24"/>
  <c r="F15" i="22"/>
  <c r="C16" i="22"/>
  <c r="D16" i="22"/>
  <c r="F16" i="22"/>
  <c r="G16" i="22"/>
  <c r="H16" i="22"/>
  <c r="J16" i="22"/>
  <c r="K16" i="22"/>
  <c r="L16" i="22"/>
  <c r="M16" i="22"/>
  <c r="B16" i="20"/>
  <c r="C16" i="20"/>
  <c r="D16" i="20"/>
  <c r="E16" i="20"/>
  <c r="F16" i="20"/>
  <c r="G16" i="20"/>
  <c r="H16" i="20"/>
  <c r="I16" i="20"/>
  <c r="J16" i="20"/>
  <c r="K16" i="20"/>
  <c r="L16" i="20"/>
  <c r="M16" i="20"/>
  <c r="F15" i="18"/>
  <c r="B16" i="18"/>
  <c r="C16" i="18"/>
  <c r="D16" i="18"/>
  <c r="F16" i="18"/>
  <c r="G16" i="18"/>
  <c r="H16" i="18"/>
  <c r="K16" i="18"/>
  <c r="L16" i="18"/>
  <c r="M16" i="18"/>
  <c r="F15" i="17"/>
  <c r="C16" i="17"/>
  <c r="D16" i="17"/>
  <c r="G16" i="17"/>
  <c r="H16" i="17"/>
  <c r="J16" i="17"/>
  <c r="K16" i="17"/>
  <c r="L16" i="17"/>
  <c r="M16" i="17"/>
  <c r="B16" i="11"/>
  <c r="C16" i="11"/>
  <c r="D16" i="11"/>
  <c r="E16" i="11"/>
  <c r="F16" i="11"/>
  <c r="G16" i="11"/>
  <c r="H16" i="11"/>
  <c r="I16" i="11"/>
  <c r="B16" i="8"/>
  <c r="C16" i="8"/>
  <c r="D16" i="8"/>
  <c r="F16" i="8"/>
  <c r="G16" i="8"/>
  <c r="H16" i="8"/>
  <c r="J16" i="8"/>
  <c r="K16" i="8"/>
  <c r="L16" i="8"/>
  <c r="B16" i="3"/>
  <c r="C16" i="3"/>
  <c r="D16" i="3"/>
  <c r="E16" i="3"/>
  <c r="F16" i="3"/>
  <c r="G16" i="3"/>
  <c r="H16" i="3"/>
  <c r="I16" i="3"/>
  <c r="J16" i="3"/>
  <c r="K16" i="3"/>
  <c r="L16" i="3"/>
  <c r="M16" i="3"/>
  <c r="B16" i="2"/>
  <c r="C16" i="2"/>
  <c r="D16" i="2"/>
  <c r="F16" i="2"/>
  <c r="G16" i="2"/>
  <c r="H16" i="2"/>
  <c r="J16" i="2"/>
  <c r="K16" i="2"/>
  <c r="L16" i="2"/>
  <c r="C16" i="1"/>
  <c r="D16" i="1"/>
  <c r="E16" i="1"/>
  <c r="F16" i="1"/>
  <c r="G16" i="1"/>
  <c r="H16" i="1"/>
  <c r="I16" i="1"/>
  <c r="J16" i="1"/>
  <c r="K16" i="1"/>
  <c r="L16" i="1"/>
  <c r="M16" i="1"/>
  <c r="L45" i="94"/>
  <c r="H45" i="94"/>
  <c r="H29" i="94"/>
  <c r="F29" i="94"/>
  <c r="G29" i="94" s="1"/>
  <c r="F45" i="94"/>
  <c r="G45" i="94"/>
  <c r="H38" i="28"/>
  <c r="H33" i="28"/>
  <c r="H24" i="28"/>
  <c r="E20" i="95"/>
  <c r="G20" i="95" s="1"/>
  <c r="E27" i="95"/>
  <c r="F27" i="95" s="1"/>
  <c r="E31" i="95"/>
  <c r="E42" i="95"/>
  <c r="F42" i="95" s="1"/>
  <c r="E12" i="95"/>
  <c r="F31" i="95"/>
  <c r="F20" i="95"/>
  <c r="G27" i="95"/>
  <c r="G31" i="95"/>
  <c r="E31" i="94"/>
  <c r="L31" i="94" s="1"/>
  <c r="E27" i="94"/>
  <c r="L27" i="94" s="1"/>
  <c r="H31" i="94"/>
  <c r="E12" i="94"/>
  <c r="E42" i="94"/>
  <c r="F35" i="94" s="1"/>
  <c r="F12" i="94"/>
  <c r="T53" i="28"/>
  <c r="Q58" i="28"/>
  <c r="Q53" i="28"/>
  <c r="N54" i="28"/>
  <c r="K53" i="28"/>
  <c r="H58" i="28"/>
  <c r="E57" i="97"/>
  <c r="E56" i="97"/>
  <c r="F57" i="97"/>
  <c r="E52" i="97"/>
  <c r="F52" i="97" s="1"/>
  <c r="E51" i="97"/>
  <c r="F51" i="97"/>
  <c r="G51" i="97"/>
  <c r="E47" i="95"/>
  <c r="E46" i="95" s="1"/>
  <c r="F47" i="95"/>
  <c r="H42" i="94"/>
  <c r="AA15" i="97"/>
  <c r="AB15" i="97"/>
  <c r="AA18" i="97"/>
  <c r="AB18" i="97" s="1"/>
  <c r="K17" i="83"/>
  <c r="N16" i="29"/>
  <c r="N15" i="29"/>
  <c r="N71" i="29" s="1"/>
  <c r="AA21" i="97"/>
  <c r="AB21" i="97" s="1"/>
  <c r="Q33" i="28"/>
  <c r="AE7" i="91"/>
  <c r="AD6" i="91"/>
  <c r="N7" i="29"/>
  <c r="N6" i="29" s="1"/>
  <c r="AN58" i="83"/>
  <c r="Z55" i="29"/>
  <c r="AN59" i="83"/>
  <c r="Z56" i="29" s="1"/>
  <c r="AN60" i="83"/>
  <c r="AN61" i="83"/>
  <c r="Z58" i="29" s="1"/>
  <c r="AN62" i="83"/>
  <c r="AN63" i="83"/>
  <c r="AN64" i="83"/>
  <c r="AN65" i="83"/>
  <c r="Z63" i="29" s="1"/>
  <c r="AN66" i="83"/>
  <c r="R66" i="83" s="1"/>
  <c r="AN67" i="83"/>
  <c r="AN68" i="83"/>
  <c r="AN69" i="83"/>
  <c r="Z67" i="29" s="1"/>
  <c r="AN70" i="83"/>
  <c r="AN71" i="83"/>
  <c r="AN72" i="83"/>
  <c r="AN73" i="83"/>
  <c r="AM57" i="83"/>
  <c r="AS57" i="83" s="1"/>
  <c r="Z70" i="29"/>
  <c r="Z69" i="29"/>
  <c r="Z68" i="29"/>
  <c r="Z66" i="29"/>
  <c r="Z65" i="29"/>
  <c r="Z64" i="29"/>
  <c r="Z62" i="29"/>
  <c r="Z61" i="29"/>
  <c r="Z60" i="29"/>
  <c r="S17" i="28"/>
  <c r="T17" i="28"/>
  <c r="D14" i="95" l="1"/>
  <c r="G14" i="95" s="1"/>
  <c r="F27" i="2"/>
  <c r="D33" i="94"/>
  <c r="L33" i="94" s="1"/>
  <c r="B27" i="68"/>
  <c r="B27" i="2"/>
  <c r="D14" i="94"/>
  <c r="L14" i="94" s="1"/>
  <c r="F27" i="42"/>
  <c r="D48" i="95"/>
  <c r="G48" i="95" s="1"/>
  <c r="D49" i="95"/>
  <c r="G49" i="95" s="1"/>
  <c r="F27" i="49"/>
  <c r="D15" i="95"/>
  <c r="G15" i="95" s="1"/>
  <c r="F27" i="20"/>
  <c r="D22" i="95"/>
  <c r="G22" i="95" s="1"/>
  <c r="F27" i="3"/>
  <c r="D33" i="95"/>
  <c r="G33" i="95" s="1"/>
  <c r="F27" i="68"/>
  <c r="D9" i="95"/>
  <c r="G9" i="95" s="1"/>
  <c r="F27" i="57"/>
  <c r="D41" i="94"/>
  <c r="B27" i="74"/>
  <c r="D23" i="94"/>
  <c r="L23" i="94" s="1"/>
  <c r="B27" i="44"/>
  <c r="D37" i="95"/>
  <c r="G37" i="95" s="1"/>
  <c r="F27" i="71"/>
  <c r="B27" i="62"/>
  <c r="D16" i="94"/>
  <c r="L16" i="94" s="1"/>
  <c r="F27" i="44"/>
  <c r="D23" i="95"/>
  <c r="G23" i="95" s="1"/>
  <c r="B27" i="56"/>
  <c r="D7" i="94"/>
  <c r="F46" i="95"/>
  <c r="D17" i="95"/>
  <c r="G17" i="95" s="1"/>
  <c r="F27" i="63"/>
  <c r="D38" i="95"/>
  <c r="G38" i="95" s="1"/>
  <c r="F27" i="79"/>
  <c r="F27" i="74"/>
  <c r="D41" i="95"/>
  <c r="G41" i="95" s="1"/>
  <c r="D35" i="94"/>
  <c r="L35" i="94" s="1"/>
  <c r="B27" i="70"/>
  <c r="D17" i="94"/>
  <c r="B27" i="63"/>
  <c r="D15" i="94"/>
  <c r="B27" i="20"/>
  <c r="D13" i="94"/>
  <c r="B27" i="1"/>
  <c r="D9" i="94"/>
  <c r="B27" i="57"/>
  <c r="D16" i="95"/>
  <c r="G16" i="95" s="1"/>
  <c r="F27" i="62"/>
  <c r="D40" i="95"/>
  <c r="G40" i="95" s="1"/>
  <c r="F27" i="8"/>
  <c r="D37" i="94"/>
  <c r="G37" i="94" s="1"/>
  <c r="B27" i="71"/>
  <c r="D21" i="94"/>
  <c r="L21" i="94" s="1"/>
  <c r="B27" i="66"/>
  <c r="D13" i="95"/>
  <c r="F27" i="1"/>
  <c r="D21" i="95"/>
  <c r="G21" i="95" s="1"/>
  <c r="F27" i="66"/>
  <c r="D40" i="94"/>
  <c r="B27" i="8"/>
  <c r="B27" i="3"/>
  <c r="D22" i="94"/>
  <c r="B27" i="41"/>
  <c r="D10" i="94"/>
  <c r="L10" i="94" s="1"/>
  <c r="R68" i="83"/>
  <c r="AC68" i="28"/>
  <c r="R68" i="28" s="1"/>
  <c r="F56" i="97"/>
  <c r="I56" i="97"/>
  <c r="T57" i="97"/>
  <c r="T56" i="97" s="1"/>
  <c r="F17" i="17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16" i="17"/>
  <c r="T54" i="29"/>
  <c r="F15" i="29"/>
  <c r="F71" i="29" s="1"/>
  <c r="B27" i="40"/>
  <c r="D11" i="94"/>
  <c r="F17" i="56"/>
  <c r="F18" i="56" s="1"/>
  <c r="F19" i="56" s="1"/>
  <c r="F20" i="56" s="1"/>
  <c r="F21" i="56" s="1"/>
  <c r="F22" i="56" s="1"/>
  <c r="F23" i="56" s="1"/>
  <c r="F24" i="56" s="1"/>
  <c r="F25" i="56" s="1"/>
  <c r="F26" i="56" s="1"/>
  <c r="F16" i="56"/>
  <c r="F27" i="46"/>
  <c r="D24" i="95"/>
  <c r="G24" i="95" s="1"/>
  <c r="F27" i="58"/>
  <c r="D39" i="95"/>
  <c r="G39" i="95" s="1"/>
  <c r="F27" i="78"/>
  <c r="D44" i="95"/>
  <c r="P42" i="91"/>
  <c r="P47" i="28"/>
  <c r="Q47" i="28" s="1"/>
  <c r="S6" i="86"/>
  <c r="S9" i="28"/>
  <c r="S6" i="28" s="1"/>
  <c r="T32" i="86"/>
  <c r="S32" i="28"/>
  <c r="S20" i="28"/>
  <c r="T20" i="86"/>
  <c r="R71" i="83"/>
  <c r="AC71" i="28"/>
  <c r="R71" i="28" s="1"/>
  <c r="R67" i="83"/>
  <c r="AC67" i="28"/>
  <c r="R67" i="28" s="1"/>
  <c r="R63" i="83"/>
  <c r="AC63" i="28"/>
  <c r="R63" i="28" s="1"/>
  <c r="R58" i="83"/>
  <c r="AC58" i="28"/>
  <c r="AD74" i="91"/>
  <c r="E50" i="95"/>
  <c r="F31" i="94"/>
  <c r="G31" i="94" s="1"/>
  <c r="B16" i="17"/>
  <c r="G16" i="94"/>
  <c r="G10" i="94"/>
  <c r="H56" i="97"/>
  <c r="H68" i="97" s="1"/>
  <c r="S57" i="97"/>
  <c r="S56" i="97" s="1"/>
  <c r="S68" i="97" s="1"/>
  <c r="K68" i="97"/>
  <c r="I6" i="97"/>
  <c r="T7" i="97"/>
  <c r="T6" i="97" s="1"/>
  <c r="T68" i="97" s="1"/>
  <c r="F16" i="89"/>
  <c r="L44" i="94"/>
  <c r="G44" i="94"/>
  <c r="D18" i="94"/>
  <c r="L18" i="94" s="1"/>
  <c r="H54" i="29"/>
  <c r="P54" i="29"/>
  <c r="S71" i="29"/>
  <c r="T15" i="29"/>
  <c r="U15" i="29" s="1"/>
  <c r="X6" i="29"/>
  <c r="Y6" i="29" s="1"/>
  <c r="AB6" i="29"/>
  <c r="J15" i="29"/>
  <c r="J71" i="29" s="1"/>
  <c r="F6" i="29"/>
  <c r="AD6" i="29"/>
  <c r="F27" i="69"/>
  <c r="D34" i="95"/>
  <c r="G34" i="95" s="1"/>
  <c r="F27" i="76"/>
  <c r="D42" i="95"/>
  <c r="G42" i="95" s="1"/>
  <c r="R72" i="83"/>
  <c r="AC72" i="28"/>
  <c r="R72" i="28" s="1"/>
  <c r="R60" i="83"/>
  <c r="AC60" i="28"/>
  <c r="R60" i="28" s="1"/>
  <c r="B27" i="72"/>
  <c r="D38" i="94"/>
  <c r="S25" i="28"/>
  <c r="T25" i="28" s="1"/>
  <c r="T25" i="86"/>
  <c r="AN57" i="83"/>
  <c r="Z53" i="29" s="1"/>
  <c r="R70" i="83"/>
  <c r="AC70" i="28"/>
  <c r="R70" i="28" s="1"/>
  <c r="R62" i="83"/>
  <c r="AC62" i="28"/>
  <c r="R62" i="28" s="1"/>
  <c r="R61" i="83"/>
  <c r="AC61" i="28"/>
  <c r="R61" i="28" s="1"/>
  <c r="R59" i="83"/>
  <c r="AC59" i="28"/>
  <c r="R59" i="28" s="1"/>
  <c r="AE6" i="91"/>
  <c r="Z7" i="28"/>
  <c r="I7" i="91"/>
  <c r="L42" i="94"/>
  <c r="G47" i="95"/>
  <c r="G52" i="97"/>
  <c r="F16" i="80"/>
  <c r="C12" i="95"/>
  <c r="M56" i="97"/>
  <c r="B18" i="85"/>
  <c r="B19" i="85" s="1"/>
  <c r="B20" i="85" s="1"/>
  <c r="B21" i="85" s="1"/>
  <c r="B22" i="85" s="1"/>
  <c r="B23" i="85" s="1"/>
  <c r="B24" i="85" s="1"/>
  <c r="B25" i="85" s="1"/>
  <c r="B26" i="85" s="1"/>
  <c r="B27" i="85" s="1"/>
  <c r="B17" i="80"/>
  <c r="B18" i="80" s="1"/>
  <c r="B19" i="80" s="1"/>
  <c r="B20" i="80" s="1"/>
  <c r="B21" i="80" s="1"/>
  <c r="B22" i="80" s="1"/>
  <c r="B23" i="80" s="1"/>
  <c r="B24" i="80" s="1"/>
  <c r="B25" i="80" s="1"/>
  <c r="B26" i="80" s="1"/>
  <c r="B27" i="80" s="1"/>
  <c r="B16" i="80"/>
  <c r="B19" i="49"/>
  <c r="B20" i="49" s="1"/>
  <c r="B21" i="49" s="1"/>
  <c r="B22" i="49" s="1"/>
  <c r="B23" i="49" s="1"/>
  <c r="B24" i="49" s="1"/>
  <c r="B25" i="49" s="1"/>
  <c r="B26" i="49" s="1"/>
  <c r="B27" i="49" s="1"/>
  <c r="F18" i="65"/>
  <c r="F19" i="65" s="1"/>
  <c r="F20" i="65" s="1"/>
  <c r="F21" i="65" s="1"/>
  <c r="F22" i="65" s="1"/>
  <c r="F23" i="65" s="1"/>
  <c r="F24" i="65" s="1"/>
  <c r="F25" i="65" s="1"/>
  <c r="F26" i="65" s="1"/>
  <c r="F27" i="65" s="1"/>
  <c r="F16" i="92"/>
  <c r="F19" i="77"/>
  <c r="F20" i="77" s="1"/>
  <c r="F21" i="77" s="1"/>
  <c r="F22" i="77" s="1"/>
  <c r="F23" i="77" s="1"/>
  <c r="F24" i="77" s="1"/>
  <c r="F25" i="77" s="1"/>
  <c r="F26" i="77" s="1"/>
  <c r="F27" i="77" s="1"/>
  <c r="B18" i="22"/>
  <c r="B19" i="22" s="1"/>
  <c r="B20" i="22" s="1"/>
  <c r="B21" i="22" s="1"/>
  <c r="B22" i="22" s="1"/>
  <c r="B23" i="22" s="1"/>
  <c r="B24" i="22" s="1"/>
  <c r="B25" i="22" s="1"/>
  <c r="B26" i="22" s="1"/>
  <c r="B27" i="22" s="1"/>
  <c r="B16" i="79"/>
  <c r="B17" i="79"/>
  <c r="B18" i="79" s="1"/>
  <c r="B19" i="79" s="1"/>
  <c r="B20" i="79" s="1"/>
  <c r="B21" i="79" s="1"/>
  <c r="B22" i="79" s="1"/>
  <c r="B23" i="79" s="1"/>
  <c r="B24" i="79" s="1"/>
  <c r="B25" i="79" s="1"/>
  <c r="B26" i="79" s="1"/>
  <c r="B27" i="79" s="1"/>
  <c r="H37" i="94"/>
  <c r="L37" i="94"/>
  <c r="H33" i="94"/>
  <c r="F33" i="94"/>
  <c r="G33" i="94" s="1"/>
  <c r="H26" i="94"/>
  <c r="F26" i="94"/>
  <c r="G26" i="94" s="1"/>
  <c r="L26" i="94"/>
  <c r="H8" i="94"/>
  <c r="L8" i="94"/>
  <c r="L24" i="94"/>
  <c r="H24" i="94"/>
  <c r="F24" i="94"/>
  <c r="G24" i="94" s="1"/>
  <c r="L15" i="29"/>
  <c r="M15" i="29" s="1"/>
  <c r="P15" i="29"/>
  <c r="Q15" i="29" s="1"/>
  <c r="U6" i="29"/>
  <c r="F27" i="48"/>
  <c r="D28" i="95"/>
  <c r="G28" i="95" s="1"/>
  <c r="B27" i="64"/>
  <c r="D20" i="94"/>
  <c r="R64" i="83"/>
  <c r="AC64" i="28"/>
  <c r="R64" i="28" s="1"/>
  <c r="F15" i="30"/>
  <c r="F16" i="75"/>
  <c r="B17" i="88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16" i="88"/>
  <c r="B27" i="92"/>
  <c r="F16" i="65"/>
  <c r="F10" i="97"/>
  <c r="E6" i="97"/>
  <c r="G15" i="97"/>
  <c r="E13" i="97"/>
  <c r="D71" i="29"/>
  <c r="E71" i="29" s="1"/>
  <c r="E54" i="29"/>
  <c r="AB15" i="29"/>
  <c r="AC15" i="29" s="1"/>
  <c r="F27" i="47"/>
  <c r="D30" i="95"/>
  <c r="G30" i="95" s="1"/>
  <c r="S26" i="86"/>
  <c r="T26" i="86" s="1"/>
  <c r="T28" i="86"/>
  <c r="S28" i="28"/>
  <c r="R73" i="83"/>
  <c r="AC73" i="28"/>
  <c r="R73" i="28" s="1"/>
  <c r="AC69" i="28"/>
  <c r="R69" i="28" s="1"/>
  <c r="R69" i="83"/>
  <c r="R65" i="83"/>
  <c r="AC65" i="28"/>
  <c r="R65" i="28" s="1"/>
  <c r="Z57" i="29"/>
  <c r="Z54" i="29" s="1"/>
  <c r="Z71" i="29" s="1"/>
  <c r="F27" i="94"/>
  <c r="G27" i="94" s="1"/>
  <c r="H27" i="94"/>
  <c r="B16" i="42"/>
  <c r="G23" i="94"/>
  <c r="G63" i="97"/>
  <c r="G53" i="97"/>
  <c r="G47" i="97"/>
  <c r="G43" i="97"/>
  <c r="M68" i="97"/>
  <c r="I68" i="97"/>
  <c r="F15" i="97"/>
  <c r="F19" i="97"/>
  <c r="F23" i="97"/>
  <c r="F27" i="97"/>
  <c r="F31" i="97"/>
  <c r="F35" i="97"/>
  <c r="F59" i="97"/>
  <c r="F20" i="89"/>
  <c r="F21" i="89" s="1"/>
  <c r="F22" i="89" s="1"/>
  <c r="F23" i="89" s="1"/>
  <c r="F24" i="89" s="1"/>
  <c r="F25" i="89" s="1"/>
  <c r="F26" i="89" s="1"/>
  <c r="F27" i="89" s="1"/>
  <c r="D35" i="95"/>
  <c r="G35" i="95" s="1"/>
  <c r="G10" i="95"/>
  <c r="F10" i="95"/>
  <c r="G44" i="95"/>
  <c r="D13" i="97"/>
  <c r="G21" i="97"/>
  <c r="AB25" i="97"/>
  <c r="G25" i="97"/>
  <c r="AB29" i="97"/>
  <c r="G29" i="97"/>
  <c r="AB33" i="97"/>
  <c r="G33" i="97"/>
  <c r="AB37" i="97"/>
  <c r="G37" i="97"/>
  <c r="H6" i="29"/>
  <c r="I6" i="29" s="1"/>
  <c r="M54" i="29"/>
  <c r="L71" i="29"/>
  <c r="M71" i="29" s="1"/>
  <c r="P6" i="29"/>
  <c r="Q6" i="29" s="1"/>
  <c r="W71" i="29"/>
  <c r="X15" i="29"/>
  <c r="AB54" i="29"/>
  <c r="R71" i="29"/>
  <c r="F27" i="12"/>
  <c r="D36" i="95"/>
  <c r="G36" i="95" s="1"/>
  <c r="F27" i="41"/>
  <c r="F27" i="23"/>
  <c r="D25" i="95"/>
  <c r="G25" i="95" s="1"/>
  <c r="B27" i="43"/>
  <c r="D19" i="94"/>
  <c r="F27" i="60"/>
  <c r="D43" i="95"/>
  <c r="G43" i="95" s="1"/>
  <c r="F13" i="30"/>
  <c r="F11" i="30"/>
  <c r="F9" i="30"/>
  <c r="F7" i="30"/>
  <c r="F5" i="30"/>
  <c r="G64" i="97"/>
  <c r="F4" i="30"/>
  <c r="B9" i="30"/>
  <c r="B4" i="30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16" i="12"/>
  <c r="N5" i="30"/>
  <c r="N16" i="12"/>
  <c r="R4" i="30"/>
  <c r="R17" i="12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F14" i="30"/>
  <c r="F12" i="30"/>
  <c r="F10" i="30"/>
  <c r="F8" i="30"/>
  <c r="F6" i="30"/>
  <c r="B8" i="30"/>
  <c r="N17" i="12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R16" i="12"/>
  <c r="B7" i="30"/>
  <c r="N17" i="30"/>
  <c r="N18" i="30" s="1"/>
  <c r="N19" i="30" s="1"/>
  <c r="N20" i="30" s="1"/>
  <c r="N21" i="30" s="1"/>
  <c r="N22" i="30" s="1"/>
  <c r="N23" i="30" s="1"/>
  <c r="N24" i="30" s="1"/>
  <c r="N25" i="30" s="1"/>
  <c r="N26" i="30" s="1"/>
  <c r="N27" i="30" s="1"/>
  <c r="N16" i="30"/>
  <c r="B6" i="30"/>
  <c r="B13" i="30"/>
  <c r="J5" i="30"/>
  <c r="J16" i="30" s="1"/>
  <c r="J17" i="12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B21" i="100"/>
  <c r="B22" i="100" s="1"/>
  <c r="B23" i="100" s="1"/>
  <c r="B24" i="100" s="1"/>
  <c r="B25" i="100" s="1"/>
  <c r="B26" i="100" s="1"/>
  <c r="B27" i="100" s="1"/>
  <c r="AQ59" i="83"/>
  <c r="AR57" i="83"/>
  <c r="B5" i="30"/>
  <c r="B16" i="99"/>
  <c r="F24" i="100"/>
  <c r="F25" i="100" s="1"/>
  <c r="F26" i="100" s="1"/>
  <c r="F27" i="100" s="1"/>
  <c r="B17" i="102"/>
  <c r="B18" i="102" s="1"/>
  <c r="B19" i="102" s="1"/>
  <c r="B20" i="102" s="1"/>
  <c r="B21" i="102" s="1"/>
  <c r="B22" i="102" s="1"/>
  <c r="B23" i="102" s="1"/>
  <c r="B24" i="102" s="1"/>
  <c r="B25" i="102" s="1"/>
  <c r="B26" i="102" s="1"/>
  <c r="B27" i="102" s="1"/>
  <c r="B16" i="102"/>
  <c r="P26" i="28"/>
  <c r="Q26" i="28" s="1"/>
  <c r="B15" i="30"/>
  <c r="B17" i="99"/>
  <c r="B18" i="99" s="1"/>
  <c r="B19" i="99" s="1"/>
  <c r="B20" i="99" s="1"/>
  <c r="B21" i="99" s="1"/>
  <c r="B22" i="99" s="1"/>
  <c r="B23" i="99" s="1"/>
  <c r="B24" i="99" s="1"/>
  <c r="B25" i="99" s="1"/>
  <c r="B26" i="99" s="1"/>
  <c r="B27" i="99" s="1"/>
  <c r="J17" i="30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M6" i="28"/>
  <c r="O34" i="28"/>
  <c r="O79" i="28"/>
  <c r="B16" i="100"/>
  <c r="B17" i="101"/>
  <c r="B18" i="101" s="1"/>
  <c r="B19" i="101" s="1"/>
  <c r="B20" i="101" s="1"/>
  <c r="B21" i="101" s="1"/>
  <c r="B22" i="101" s="1"/>
  <c r="B23" i="101" s="1"/>
  <c r="B24" i="101" s="1"/>
  <c r="B25" i="101" s="1"/>
  <c r="B26" i="101" s="1"/>
  <c r="B27" i="101" s="1"/>
  <c r="B16" i="101"/>
  <c r="U55" i="91"/>
  <c r="AD55" i="28"/>
  <c r="U55" i="28" s="1"/>
  <c r="U40" i="91"/>
  <c r="AD40" i="28"/>
  <c r="U40" i="28" s="1"/>
  <c r="AQ34" i="91"/>
  <c r="U36" i="91"/>
  <c r="AD36" i="28"/>
  <c r="I58" i="91"/>
  <c r="AE57" i="91"/>
  <c r="U32" i="91"/>
  <c r="AD32" i="28"/>
  <c r="U32" i="28" s="1"/>
  <c r="AD28" i="28"/>
  <c r="U28" i="28" s="1"/>
  <c r="U28" i="91"/>
  <c r="AQ26" i="91"/>
  <c r="D42" i="28"/>
  <c r="D6" i="28"/>
  <c r="AO6" i="83"/>
  <c r="AO74" i="83" s="1"/>
  <c r="B14" i="30"/>
  <c r="B11" i="30"/>
  <c r="P77" i="28"/>
  <c r="P80" i="28" s="1"/>
  <c r="P79" i="28"/>
  <c r="J49" i="28"/>
  <c r="K49" i="28" s="1"/>
  <c r="K50" i="28"/>
  <c r="B12" i="30"/>
  <c r="B10" i="30"/>
  <c r="U45" i="91"/>
  <c r="AD45" i="28"/>
  <c r="U45" i="28" s="1"/>
  <c r="AD70" i="28"/>
  <c r="U70" i="28" s="1"/>
  <c r="U70" i="91"/>
  <c r="U67" i="91"/>
  <c r="AD67" i="28"/>
  <c r="U67" i="28" s="1"/>
  <c r="U63" i="91"/>
  <c r="AD63" i="28"/>
  <c r="U63" i="28" s="1"/>
  <c r="U60" i="91"/>
  <c r="AD60" i="28"/>
  <c r="U60" i="28" s="1"/>
  <c r="AL57" i="83"/>
  <c r="U6" i="104"/>
  <c r="U12" i="91"/>
  <c r="AD12" i="28"/>
  <c r="U12" i="28" s="1"/>
  <c r="U8" i="91"/>
  <c r="AD8" i="28"/>
  <c r="U8" i="28" s="1"/>
  <c r="AQ6" i="91"/>
  <c r="AQ74" i="91" s="1"/>
  <c r="U16" i="104"/>
  <c r="U26" i="104"/>
  <c r="U27" i="83"/>
  <c r="U26" i="83" s="1"/>
  <c r="AQ26" i="83"/>
  <c r="D57" i="28"/>
  <c r="G34" i="28"/>
  <c r="H34" i="28" s="1"/>
  <c r="G16" i="28"/>
  <c r="H16" i="28" s="1"/>
  <c r="J26" i="28"/>
  <c r="K26" i="28" s="1"/>
  <c r="N34" i="28"/>
  <c r="P34" i="28"/>
  <c r="P78" i="28"/>
  <c r="P16" i="28"/>
  <c r="Q16" i="28" s="1"/>
  <c r="S34" i="28"/>
  <c r="T34" i="28" s="1"/>
  <c r="M78" i="28"/>
  <c r="G79" i="28"/>
  <c r="P49" i="28"/>
  <c r="Q49" i="28" s="1"/>
  <c r="Q51" i="28"/>
  <c r="AK74" i="104"/>
  <c r="AO74" i="91"/>
  <c r="U42" i="104"/>
  <c r="U34" i="104"/>
  <c r="C74" i="104"/>
  <c r="R6" i="104"/>
  <c r="R74" i="104" s="1"/>
  <c r="R16" i="104"/>
  <c r="R26" i="104"/>
  <c r="N49" i="91"/>
  <c r="R57" i="104"/>
  <c r="D79" i="28"/>
  <c r="D26" i="28"/>
  <c r="G6" i="28"/>
  <c r="P42" i="28"/>
  <c r="S42" i="28"/>
  <c r="G57" i="28"/>
  <c r="T51" i="28"/>
  <c r="S49" i="28"/>
  <c r="K35" i="28"/>
  <c r="J34" i="28"/>
  <c r="K34" i="28" s="1"/>
  <c r="N73" i="28"/>
  <c r="M77" i="28"/>
  <c r="M80" i="28" s="1"/>
  <c r="AN74" i="104"/>
  <c r="AR74" i="91"/>
  <c r="AO57" i="83"/>
  <c r="U47" i="91"/>
  <c r="AD47" i="28"/>
  <c r="U47" i="28" s="1"/>
  <c r="U72" i="91"/>
  <c r="AD72" i="28"/>
  <c r="U72" i="28" s="1"/>
  <c r="U69" i="91"/>
  <c r="AD69" i="28"/>
  <c r="U69" i="28" s="1"/>
  <c r="U65" i="91"/>
  <c r="AD65" i="28"/>
  <c r="U65" i="28" s="1"/>
  <c r="U61" i="91"/>
  <c r="AD61" i="28"/>
  <c r="U61" i="28" s="1"/>
  <c r="U59" i="91"/>
  <c r="AD59" i="28"/>
  <c r="U59" i="28" s="1"/>
  <c r="Z59" i="28"/>
  <c r="I59" i="28" s="1"/>
  <c r="I59" i="91"/>
  <c r="L70" i="83"/>
  <c r="L57" i="83" s="1"/>
  <c r="AH57" i="83"/>
  <c r="F74" i="104"/>
  <c r="U22" i="91"/>
  <c r="AD22" i="28"/>
  <c r="U22" i="28" s="1"/>
  <c r="U17" i="91"/>
  <c r="AQ16" i="91"/>
  <c r="AD17" i="28"/>
  <c r="AA74" i="91"/>
  <c r="Z11" i="28"/>
  <c r="I11" i="28" s="1"/>
  <c r="D11" i="97" s="1"/>
  <c r="I11" i="91"/>
  <c r="AA17" i="97" s="1"/>
  <c r="AB17" i="97" s="1"/>
  <c r="U57" i="104"/>
  <c r="D34" i="28"/>
  <c r="E34" i="28" s="1"/>
  <c r="J16" i="28"/>
  <c r="K16" i="28" s="1"/>
  <c r="J77" i="28"/>
  <c r="J80" i="28" s="1"/>
  <c r="J57" i="28"/>
  <c r="D49" i="28"/>
  <c r="E51" i="28"/>
  <c r="M49" i="28"/>
  <c r="N49" i="28" s="1"/>
  <c r="N51" i="28"/>
  <c r="Y74" i="104"/>
  <c r="Z50" i="104"/>
  <c r="Z49" i="104" s="1"/>
  <c r="Z74" i="104" s="1"/>
  <c r="AG74" i="83"/>
  <c r="AR74" i="83"/>
  <c r="O73" i="91"/>
  <c r="O57" i="91" s="1"/>
  <c r="Q57" i="91" s="1"/>
  <c r="AK57" i="91"/>
  <c r="V53" i="29" s="1"/>
  <c r="F59" i="91"/>
  <c r="AB57" i="91"/>
  <c r="X12" i="28"/>
  <c r="Y6" i="91"/>
  <c r="Y74" i="91" s="1"/>
  <c r="C12" i="91"/>
  <c r="X31" i="28"/>
  <c r="Y26" i="91"/>
  <c r="C31" i="91"/>
  <c r="Y67" i="97" s="1"/>
  <c r="X67" i="97" s="1"/>
  <c r="X54" i="28"/>
  <c r="C54" i="91"/>
  <c r="Y49" i="91"/>
  <c r="X64" i="28"/>
  <c r="C64" i="28" s="1"/>
  <c r="C64" i="91"/>
  <c r="X68" i="28"/>
  <c r="C68" i="28" s="1"/>
  <c r="C68" i="91"/>
  <c r="X72" i="28"/>
  <c r="C72" i="28" s="1"/>
  <c r="C78" i="28" s="1"/>
  <c r="C72" i="91"/>
  <c r="D50" i="94" s="1"/>
  <c r="Y42" i="83"/>
  <c r="C46" i="83"/>
  <c r="C42" i="83" s="1"/>
  <c r="E42" i="83" s="1"/>
  <c r="C61" i="83"/>
  <c r="C57" i="83" s="1"/>
  <c r="Y57" i="83"/>
  <c r="AC31" i="28"/>
  <c r="AN26" i="91"/>
  <c r="R31" i="91"/>
  <c r="AC46" i="28"/>
  <c r="R46" i="28" s="1"/>
  <c r="R46" i="91"/>
  <c r="U50" i="83"/>
  <c r="AD50" i="28"/>
  <c r="AQ49" i="83"/>
  <c r="U46" i="91"/>
  <c r="AD46" i="28"/>
  <c r="U46" i="28" s="1"/>
  <c r="AD66" i="28"/>
  <c r="U66" i="28" s="1"/>
  <c r="U66" i="91"/>
  <c r="AD62" i="28"/>
  <c r="U62" i="28" s="1"/>
  <c r="U62" i="91"/>
  <c r="U36" i="83"/>
  <c r="U34" i="83" s="1"/>
  <c r="W34" i="83" s="1"/>
  <c r="AQ34" i="83"/>
  <c r="U54" i="91"/>
  <c r="AD54" i="28"/>
  <c r="U54" i="28" s="1"/>
  <c r="AD39" i="28"/>
  <c r="U39" i="28" s="1"/>
  <c r="U39" i="91"/>
  <c r="Z72" i="28"/>
  <c r="I72" i="28" s="1"/>
  <c r="I72" i="91"/>
  <c r="D70" i="97" s="1"/>
  <c r="Z69" i="28"/>
  <c r="I69" i="28" s="1"/>
  <c r="D65" i="97" s="1"/>
  <c r="G65" i="97" s="1"/>
  <c r="I69" i="91"/>
  <c r="Z65" i="28"/>
  <c r="I65" i="28" s="1"/>
  <c r="D61" i="97" s="1"/>
  <c r="G61" i="97" s="1"/>
  <c r="I65" i="91"/>
  <c r="O12" i="91"/>
  <c r="O6" i="91" s="1"/>
  <c r="O74" i="91" s="1"/>
  <c r="AK6" i="91"/>
  <c r="AB12" i="28"/>
  <c r="O12" i="28" s="1"/>
  <c r="AD11" i="28"/>
  <c r="U11" i="28" s="1"/>
  <c r="U11" i="91"/>
  <c r="AD7" i="28"/>
  <c r="U7" i="91"/>
  <c r="U21" i="91"/>
  <c r="AD21" i="28"/>
  <c r="U21" i="28" s="1"/>
  <c r="AB6" i="83"/>
  <c r="F7" i="83"/>
  <c r="AB6" i="91"/>
  <c r="F7" i="91"/>
  <c r="Y7" i="28"/>
  <c r="Z10" i="28"/>
  <c r="I10" i="28" s="1"/>
  <c r="D10" i="97" s="1"/>
  <c r="AB10" i="97" s="1"/>
  <c r="I10" i="91"/>
  <c r="AA66" i="97" s="1"/>
  <c r="W26" i="83"/>
  <c r="U27" i="91"/>
  <c r="AD27" i="28"/>
  <c r="AD74" i="83"/>
  <c r="AG74" i="104"/>
  <c r="AJ74" i="83"/>
  <c r="AB74" i="104"/>
  <c r="O48" i="83"/>
  <c r="AB48" i="28"/>
  <c r="AK42" i="83"/>
  <c r="R10" i="83"/>
  <c r="AC10" i="28"/>
  <c r="R10" i="28" s="1"/>
  <c r="R14" i="83"/>
  <c r="AC14" i="28"/>
  <c r="R14" i="28" s="1"/>
  <c r="R31" i="83"/>
  <c r="R26" i="83" s="1"/>
  <c r="AN26" i="83"/>
  <c r="AD58" i="28"/>
  <c r="AQ57" i="91"/>
  <c r="AD53" i="29" s="1"/>
  <c r="U58" i="91"/>
  <c r="AD53" i="28"/>
  <c r="U53" i="28" s="1"/>
  <c r="U53" i="91"/>
  <c r="AD38" i="28"/>
  <c r="U38" i="28" s="1"/>
  <c r="U38" i="91"/>
  <c r="Z61" i="28"/>
  <c r="I61" i="28" s="1"/>
  <c r="I61" i="91"/>
  <c r="AA52" i="97" s="1"/>
  <c r="AB52" i="97" s="1"/>
  <c r="U6" i="83"/>
  <c r="U10" i="91"/>
  <c r="AD10" i="28"/>
  <c r="U10" i="28" s="1"/>
  <c r="AD24" i="28"/>
  <c r="U24" i="28" s="1"/>
  <c r="U24" i="91"/>
  <c r="U19" i="91"/>
  <c r="AD19" i="28"/>
  <c r="U19" i="28" s="1"/>
  <c r="I7" i="83"/>
  <c r="I6" i="83" s="1"/>
  <c r="AE6" i="83"/>
  <c r="AC74" i="91"/>
  <c r="Z9" i="28"/>
  <c r="I9" i="28" s="1"/>
  <c r="D9" i="97" s="1"/>
  <c r="I9" i="91"/>
  <c r="AA16" i="97" s="1"/>
  <c r="AB16" i="97" s="1"/>
  <c r="U30" i="91"/>
  <c r="AD30" i="28"/>
  <c r="U30" i="28" s="1"/>
  <c r="AM74" i="83"/>
  <c r="AS74" i="83" s="1"/>
  <c r="AQ6" i="83"/>
  <c r="AQ74" i="83" s="1"/>
  <c r="AL74" i="91"/>
  <c r="AQ49" i="91"/>
  <c r="Y48" i="28"/>
  <c r="F48" i="28" s="1"/>
  <c r="F48" i="91"/>
  <c r="Y62" i="28"/>
  <c r="F62" i="28" s="1"/>
  <c r="F62" i="91"/>
  <c r="Z54" i="97" s="1"/>
  <c r="Y70" i="28"/>
  <c r="F70" i="28" s="1"/>
  <c r="F70" i="91"/>
  <c r="X15" i="28"/>
  <c r="C15" i="28" s="1"/>
  <c r="C15" i="91"/>
  <c r="X47" i="28"/>
  <c r="C47" i="28" s="1"/>
  <c r="C47" i="91"/>
  <c r="Y47" i="97" s="1"/>
  <c r="X47" i="97" s="1"/>
  <c r="X62" i="28"/>
  <c r="C62" i="28" s="1"/>
  <c r="C62" i="91"/>
  <c r="Y54" i="97" s="1"/>
  <c r="X54" i="97" s="1"/>
  <c r="X66" i="28"/>
  <c r="C66" i="28" s="1"/>
  <c r="C66" i="91"/>
  <c r="X70" i="28"/>
  <c r="C70" i="28" s="1"/>
  <c r="C70" i="91"/>
  <c r="Y16" i="83"/>
  <c r="C19" i="83"/>
  <c r="C16" i="83" s="1"/>
  <c r="AB57" i="83"/>
  <c r="F59" i="83"/>
  <c r="F57" i="83" s="1"/>
  <c r="AC19" i="28"/>
  <c r="R19" i="91"/>
  <c r="R16" i="91" s="1"/>
  <c r="AN16" i="91"/>
  <c r="AN74" i="91" s="1"/>
  <c r="AC44" i="28"/>
  <c r="R44" i="28" s="1"/>
  <c r="R44" i="91"/>
  <c r="AC54" i="28"/>
  <c r="R54" i="28" s="1"/>
  <c r="R54" i="91"/>
  <c r="R49" i="91" s="1"/>
  <c r="AN49" i="91"/>
  <c r="AH57" i="91"/>
  <c r="L70" i="91"/>
  <c r="AA70" i="28"/>
  <c r="I58" i="83"/>
  <c r="I57" i="83" s="1"/>
  <c r="AE57" i="83"/>
  <c r="O7" i="83"/>
  <c r="O6" i="83" s="1"/>
  <c r="AB7" i="28"/>
  <c r="AK6" i="83"/>
  <c r="O65" i="83"/>
  <c r="O57" i="83" s="1"/>
  <c r="Q57" i="83" s="1"/>
  <c r="AB65" i="28"/>
  <c r="AK57" i="83"/>
  <c r="R11" i="83"/>
  <c r="AC11" i="28"/>
  <c r="R11" i="28" s="1"/>
  <c r="R15" i="83"/>
  <c r="AC15" i="28"/>
  <c r="R15" i="28" s="1"/>
  <c r="R43" i="83"/>
  <c r="R42" i="83" s="1"/>
  <c r="AN42" i="83"/>
  <c r="U25" i="91"/>
  <c r="AD25" i="28"/>
  <c r="U25" i="28" s="1"/>
  <c r="AQ42" i="91"/>
  <c r="AD43" i="28"/>
  <c r="U43" i="91"/>
  <c r="U42" i="91" s="1"/>
  <c r="U43" i="83"/>
  <c r="U42" i="83" s="1"/>
  <c r="AQ42" i="83"/>
  <c r="U71" i="91"/>
  <c r="AD71" i="28"/>
  <c r="U71" i="28" s="1"/>
  <c r="U68" i="91"/>
  <c r="AD68" i="28"/>
  <c r="U68" i="28" s="1"/>
  <c r="U64" i="91"/>
  <c r="AD64" i="28"/>
  <c r="U64" i="28" s="1"/>
  <c r="U58" i="83"/>
  <c r="AQ57" i="83"/>
  <c r="U56" i="91"/>
  <c r="AD56" i="28"/>
  <c r="U56" i="28" s="1"/>
  <c r="U41" i="91"/>
  <c r="AD41" i="28"/>
  <c r="U41" i="28" s="1"/>
  <c r="U37" i="91"/>
  <c r="AD37" i="28"/>
  <c r="U37" i="28" s="1"/>
  <c r="Z67" i="28"/>
  <c r="I67" i="28" s="1"/>
  <c r="D63" i="97" s="1"/>
  <c r="I67" i="91"/>
  <c r="Z63" i="28"/>
  <c r="I63" i="28" s="1"/>
  <c r="D59" i="97" s="1"/>
  <c r="G59" i="97" s="1"/>
  <c r="I63" i="91"/>
  <c r="AA55" i="97" s="1"/>
  <c r="AB55" i="97" s="1"/>
  <c r="V74" i="83"/>
  <c r="AD9" i="28"/>
  <c r="U9" i="28" s="1"/>
  <c r="U9" i="91"/>
  <c r="AD23" i="28"/>
  <c r="U23" i="28" s="1"/>
  <c r="U23" i="91"/>
  <c r="AD18" i="28"/>
  <c r="U18" i="28" s="1"/>
  <c r="U18" i="91"/>
  <c r="X74" i="83"/>
  <c r="X74" i="91"/>
  <c r="AD33" i="28"/>
  <c r="U33" i="28" s="1"/>
  <c r="U33" i="91"/>
  <c r="AD29" i="28"/>
  <c r="U29" i="28" s="1"/>
  <c r="U29" i="91"/>
  <c r="AC74" i="104"/>
  <c r="AM74" i="91"/>
  <c r="AS74" i="91" s="1"/>
  <c r="AP74" i="83"/>
  <c r="AF57" i="83"/>
  <c r="Z73" i="28"/>
  <c r="I73" i="28" s="1"/>
  <c r="I73" i="91"/>
  <c r="Y54" i="28"/>
  <c r="AB49" i="91"/>
  <c r="F54" i="91"/>
  <c r="Y63" i="28"/>
  <c r="F63" i="28" s="1"/>
  <c r="F63" i="91"/>
  <c r="Z55" i="97" s="1"/>
  <c r="Y67" i="28"/>
  <c r="F67" i="28" s="1"/>
  <c r="F67" i="91"/>
  <c r="Y73" i="28"/>
  <c r="F73" i="28" s="1"/>
  <c r="F73" i="91"/>
  <c r="X19" i="28"/>
  <c r="Y16" i="91"/>
  <c r="C19" i="91"/>
  <c r="X48" i="28"/>
  <c r="C48" i="28" s="1"/>
  <c r="C48" i="91"/>
  <c r="X63" i="28"/>
  <c r="C63" i="28" s="1"/>
  <c r="C63" i="91"/>
  <c r="Y55" i="97" s="1"/>
  <c r="X55" i="97" s="1"/>
  <c r="X67" i="28"/>
  <c r="C67" i="28" s="1"/>
  <c r="C67" i="91"/>
  <c r="X71" i="28"/>
  <c r="C71" i="28" s="1"/>
  <c r="C71" i="91"/>
  <c r="Y6" i="83"/>
  <c r="Y74" i="83" s="1"/>
  <c r="C12" i="83"/>
  <c r="C6" i="83" s="1"/>
  <c r="C31" i="83"/>
  <c r="Y26" i="83"/>
  <c r="Y49" i="83"/>
  <c r="C54" i="83"/>
  <c r="F47" i="83"/>
  <c r="AB42" i="83"/>
  <c r="AC21" i="28"/>
  <c r="R21" i="28" s="1"/>
  <c r="R21" i="91"/>
  <c r="AC45" i="28"/>
  <c r="R45" i="28" s="1"/>
  <c r="R45" i="91"/>
  <c r="U17" i="83"/>
  <c r="U16" i="83" s="1"/>
  <c r="W16" i="83" s="1"/>
  <c r="AQ16" i="83"/>
  <c r="R8" i="83"/>
  <c r="AC8" i="28"/>
  <c r="R8" i="28" s="1"/>
  <c r="R12" i="83"/>
  <c r="AC12" i="28"/>
  <c r="R12" i="28" s="1"/>
  <c r="R19" i="83"/>
  <c r="R16" i="83" s="1"/>
  <c r="T16" i="83" s="1"/>
  <c r="AN16" i="83"/>
  <c r="AN74" i="83" s="1"/>
  <c r="R50" i="83"/>
  <c r="R49" i="83" s="1"/>
  <c r="AN49" i="83"/>
  <c r="Z57" i="83"/>
  <c r="AC74" i="83"/>
  <c r="U51" i="91"/>
  <c r="U49" i="91" s="1"/>
  <c r="AD51" i="28"/>
  <c r="U51" i="28" s="1"/>
  <c r="AO26" i="91"/>
  <c r="P74" i="86"/>
  <c r="J26" i="91"/>
  <c r="K26" i="91" s="1"/>
  <c r="L57" i="91"/>
  <c r="N57" i="91" s="1"/>
  <c r="L16" i="91"/>
  <c r="L74" i="91" s="1"/>
  <c r="P6" i="91"/>
  <c r="AG74" i="91"/>
  <c r="Z74" i="83"/>
  <c r="Z74" i="91"/>
  <c r="Y47" i="28"/>
  <c r="AB42" i="91"/>
  <c r="F47" i="91"/>
  <c r="Z47" i="97" s="1"/>
  <c r="Y60" i="28"/>
  <c r="F60" i="28" s="1"/>
  <c r="F60" i="91"/>
  <c r="Z51" i="97" s="1"/>
  <c r="Y65" i="28"/>
  <c r="F65" i="28" s="1"/>
  <c r="F65" i="91"/>
  <c r="Y69" i="28"/>
  <c r="F69" i="28" s="1"/>
  <c r="X13" i="28"/>
  <c r="C13" i="28" s="1"/>
  <c r="C13" i="91"/>
  <c r="Y20" i="97" s="1"/>
  <c r="X20" i="97" s="1"/>
  <c r="X46" i="28"/>
  <c r="Y42" i="91"/>
  <c r="C46" i="91"/>
  <c r="X61" i="28"/>
  <c r="C61" i="91"/>
  <c r="Y52" i="97" s="1"/>
  <c r="X52" i="97" s="1"/>
  <c r="X65" i="28"/>
  <c r="C65" i="28" s="1"/>
  <c r="C65" i="91"/>
  <c r="X69" i="28"/>
  <c r="C69" i="28" s="1"/>
  <c r="C69" i="91"/>
  <c r="Z13" i="28"/>
  <c r="I13" i="28" s="1"/>
  <c r="D12" i="97" s="1"/>
  <c r="I13" i="91"/>
  <c r="AA20" i="97" s="1"/>
  <c r="AB20" i="97" s="1"/>
  <c r="Y14" i="28"/>
  <c r="F14" i="28" s="1"/>
  <c r="F14" i="83"/>
  <c r="F54" i="83"/>
  <c r="F49" i="83" s="1"/>
  <c r="H49" i="83" s="1"/>
  <c r="AB49" i="83"/>
  <c r="R7" i="83"/>
  <c r="AC7" i="28"/>
  <c r="AN42" i="91"/>
  <c r="AC43" i="28"/>
  <c r="R43" i="91"/>
  <c r="AC47" i="28"/>
  <c r="R47" i="28" s="1"/>
  <c r="R47" i="91"/>
  <c r="AA48" i="28"/>
  <c r="L48" i="91"/>
  <c r="L42" i="91" s="1"/>
  <c r="L48" i="83"/>
  <c r="AH42" i="83"/>
  <c r="AH74" i="83" s="1"/>
  <c r="O15" i="83"/>
  <c r="AB15" i="28"/>
  <c r="O15" i="28" s="1"/>
  <c r="R9" i="83"/>
  <c r="AC9" i="28"/>
  <c r="R9" i="28" s="1"/>
  <c r="R13" i="83"/>
  <c r="AC13" i="28"/>
  <c r="R13" i="28" s="1"/>
  <c r="U52" i="91"/>
  <c r="AD52" i="28"/>
  <c r="U52" i="28" s="1"/>
  <c r="AL6" i="86"/>
  <c r="AL74" i="86" s="1"/>
  <c r="AK74" i="86"/>
  <c r="F69" i="91"/>
  <c r="G16" i="91"/>
  <c r="F42" i="91"/>
  <c r="H42" i="91" s="1"/>
  <c r="S26" i="91"/>
  <c r="D16" i="83"/>
  <c r="M49" i="104"/>
  <c r="M42" i="104" s="1"/>
  <c r="M6" i="104"/>
  <c r="P42" i="104"/>
  <c r="V12" i="30"/>
  <c r="V13" i="30"/>
  <c r="V14" i="30"/>
  <c r="AF74" i="86"/>
  <c r="Y74" i="86"/>
  <c r="AG74" i="86"/>
  <c r="C34" i="91"/>
  <c r="E34" i="91" s="1"/>
  <c r="D6" i="91"/>
  <c r="F49" i="91"/>
  <c r="G49" i="91"/>
  <c r="G6" i="91"/>
  <c r="K35" i="91"/>
  <c r="J34" i="91"/>
  <c r="K34" i="91" s="1"/>
  <c r="J16" i="91"/>
  <c r="K16" i="91" s="1"/>
  <c r="L26" i="91"/>
  <c r="M6" i="91"/>
  <c r="R26" i="91"/>
  <c r="S34" i="91"/>
  <c r="S16" i="91"/>
  <c r="J42" i="91"/>
  <c r="D42" i="104"/>
  <c r="G34" i="104"/>
  <c r="J26" i="104"/>
  <c r="F13" i="86"/>
  <c r="Y13" i="28"/>
  <c r="F13" i="28" s="1"/>
  <c r="AB6" i="86"/>
  <c r="AB74" i="86" s="1"/>
  <c r="F64" i="86"/>
  <c r="Y64" i="28"/>
  <c r="F64" i="28" s="1"/>
  <c r="I6" i="86"/>
  <c r="I68" i="86"/>
  <c r="Z68" i="28"/>
  <c r="I68" i="28" s="1"/>
  <c r="D64" i="97" s="1"/>
  <c r="AA74" i="86"/>
  <c r="AE74" i="86"/>
  <c r="AO16" i="86"/>
  <c r="AO74" i="86" s="1"/>
  <c r="R6" i="91"/>
  <c r="F16" i="91"/>
  <c r="G57" i="91"/>
  <c r="J49" i="91"/>
  <c r="K49" i="91" s="1"/>
  <c r="J6" i="91"/>
  <c r="L34" i="91"/>
  <c r="M49" i="91"/>
  <c r="S49" i="91"/>
  <c r="S6" i="91"/>
  <c r="Q44" i="91"/>
  <c r="Q42" i="91" s="1"/>
  <c r="O42" i="91"/>
  <c r="C26" i="83"/>
  <c r="E34" i="83"/>
  <c r="R74" i="86"/>
  <c r="Z74" i="86"/>
  <c r="AP74" i="86"/>
  <c r="L49" i="91"/>
  <c r="V6" i="91"/>
  <c r="V74" i="91" s="1"/>
  <c r="AH74" i="91"/>
  <c r="I42" i="91"/>
  <c r="M49" i="83"/>
  <c r="N49" i="83" s="1"/>
  <c r="Y57" i="91"/>
  <c r="F53" i="29" s="1"/>
  <c r="J16" i="83"/>
  <c r="K16" i="83" s="1"/>
  <c r="M6" i="83"/>
  <c r="AI6" i="83"/>
  <c r="AI74" i="83" s="1"/>
  <c r="D57" i="83"/>
  <c r="I26" i="83"/>
  <c r="K26" i="83" s="1"/>
  <c r="I34" i="83"/>
  <c r="K34" i="83" s="1"/>
  <c r="I42" i="83"/>
  <c r="D49" i="104"/>
  <c r="G49" i="104"/>
  <c r="G42" i="104" s="1"/>
  <c r="G6" i="104"/>
  <c r="J34" i="104"/>
  <c r="M57" i="104"/>
  <c r="M16" i="104"/>
  <c r="P49" i="104"/>
  <c r="P6" i="104"/>
  <c r="AC50" i="28"/>
  <c r="G34" i="83"/>
  <c r="H34" i="83" s="1"/>
  <c r="L26" i="86"/>
  <c r="L74" i="86" s="1"/>
  <c r="M34" i="86"/>
  <c r="O73" i="86"/>
  <c r="O57" i="86" s="1"/>
  <c r="Q57" i="86" s="1"/>
  <c r="AB73" i="28"/>
  <c r="O73" i="28" s="1"/>
  <c r="R66" i="86"/>
  <c r="R57" i="86" s="1"/>
  <c r="AC66" i="28"/>
  <c r="R66" i="28" s="1"/>
  <c r="L42" i="83"/>
  <c r="L74" i="83" s="1"/>
  <c r="G6" i="83"/>
  <c r="M57" i="83"/>
  <c r="P16" i="83"/>
  <c r="Q16" i="83" s="1"/>
  <c r="S6" i="83"/>
  <c r="F26" i="83"/>
  <c r="F42" i="83"/>
  <c r="D49" i="83"/>
  <c r="E49" i="83" s="1"/>
  <c r="G16" i="104"/>
  <c r="J42" i="104"/>
  <c r="J16" i="104"/>
  <c r="J74" i="104" s="1"/>
  <c r="M26" i="104"/>
  <c r="D6" i="83"/>
  <c r="G57" i="83"/>
  <c r="H57" i="83" s="1"/>
  <c r="P49" i="83"/>
  <c r="D26" i="83"/>
  <c r="E26" i="83" s="1"/>
  <c r="C49" i="83"/>
  <c r="D6" i="104"/>
  <c r="G57" i="104"/>
  <c r="G26" i="104"/>
  <c r="J57" i="104"/>
  <c r="M34" i="104"/>
  <c r="S57" i="104"/>
  <c r="S61" i="28"/>
  <c r="AF16" i="28"/>
  <c r="AF74" i="28" s="1"/>
  <c r="AC20" i="28"/>
  <c r="R20" i="28" s="1"/>
  <c r="W42" i="83"/>
  <c r="G49" i="86"/>
  <c r="J49" i="86"/>
  <c r="K49" i="86" s="1"/>
  <c r="S26" i="104"/>
  <c r="Y15" i="28"/>
  <c r="F15" i="28" s="1"/>
  <c r="I15" i="86"/>
  <c r="Z15" i="28"/>
  <c r="I15" i="28" s="1"/>
  <c r="I66" i="86"/>
  <c r="AA63" i="97" s="1"/>
  <c r="AB63" i="97" s="1"/>
  <c r="Z66" i="28"/>
  <c r="I66" i="28" s="1"/>
  <c r="D62" i="97" s="1"/>
  <c r="K42" i="83"/>
  <c r="J6" i="83"/>
  <c r="P42" i="83"/>
  <c r="G26" i="86"/>
  <c r="S34" i="104"/>
  <c r="V49" i="104"/>
  <c r="V42" i="104" s="1"/>
  <c r="Y66" i="28"/>
  <c r="F66" i="28" s="1"/>
  <c r="F68" i="86"/>
  <c r="Y68" i="28"/>
  <c r="F68" i="28" s="1"/>
  <c r="I64" i="86"/>
  <c r="AA61" i="97" s="1"/>
  <c r="AB61" i="97" s="1"/>
  <c r="Z64" i="28"/>
  <c r="I64" i="28" s="1"/>
  <c r="D60" i="97" s="1"/>
  <c r="Q34" i="83"/>
  <c r="M34" i="83"/>
  <c r="N34" i="83" s="1"/>
  <c r="S42" i="83"/>
  <c r="M42" i="83"/>
  <c r="S49" i="83"/>
  <c r="C57" i="86"/>
  <c r="Y50" i="97" s="1"/>
  <c r="X50" i="97" s="1"/>
  <c r="J26" i="86"/>
  <c r="S49" i="104"/>
  <c r="S42" i="104" s="1"/>
  <c r="S16" i="104"/>
  <c r="S74" i="104" s="1"/>
  <c r="V6" i="104"/>
  <c r="AE6" i="28"/>
  <c r="AE49" i="28"/>
  <c r="I62" i="86"/>
  <c r="AA59" i="97" s="1"/>
  <c r="AB59" i="97" s="1"/>
  <c r="Z62" i="28"/>
  <c r="I62" i="28" s="1"/>
  <c r="I70" i="86"/>
  <c r="Z70" i="28"/>
  <c r="I70" i="28" s="1"/>
  <c r="J57" i="83"/>
  <c r="K57" i="83" s="1"/>
  <c r="P26" i="83"/>
  <c r="Q26" i="83" s="1"/>
  <c r="S26" i="83"/>
  <c r="S34" i="83"/>
  <c r="O42" i="83"/>
  <c r="Y59" i="28"/>
  <c r="M26" i="91"/>
  <c r="N26" i="91" s="1"/>
  <c r="F26" i="86"/>
  <c r="D42" i="86"/>
  <c r="E42" i="86" s="1"/>
  <c r="C49" i="86"/>
  <c r="I26" i="86"/>
  <c r="P42" i="86"/>
  <c r="Q42" i="86" s="1"/>
  <c r="P26" i="86"/>
  <c r="Q26" i="86" s="1"/>
  <c r="P49" i="86"/>
  <c r="Q49" i="86" s="1"/>
  <c r="L34" i="86"/>
  <c r="M42" i="86"/>
  <c r="N42" i="86" s="1"/>
  <c r="U57" i="86"/>
  <c r="S16" i="86"/>
  <c r="T16" i="86" s="1"/>
  <c r="S49" i="86"/>
  <c r="T49" i="86" s="1"/>
  <c r="T42" i="86"/>
  <c r="T34" i="86"/>
  <c r="Z8" i="28"/>
  <c r="I8" i="28" s="1"/>
  <c r="D8" i="97" s="1"/>
  <c r="Z12" i="28"/>
  <c r="I12" i="28" s="1"/>
  <c r="Z58" i="28"/>
  <c r="Z71" i="28"/>
  <c r="I71" i="28" s="1"/>
  <c r="D66" i="97" s="1"/>
  <c r="G66" i="97" s="1"/>
  <c r="N42" i="91"/>
  <c r="F16" i="86"/>
  <c r="Z21" i="97" s="1"/>
  <c r="D26" i="86"/>
  <c r="E26" i="86" s="1"/>
  <c r="I34" i="86"/>
  <c r="K34" i="86" s="1"/>
  <c r="V57" i="86"/>
  <c r="W57" i="86" s="1"/>
  <c r="L42" i="86"/>
  <c r="L49" i="86"/>
  <c r="U34" i="86"/>
  <c r="U74" i="86" s="1"/>
  <c r="S57" i="86"/>
  <c r="T57" i="86" s="1"/>
  <c r="M16" i="91"/>
  <c r="N16" i="91" s="1"/>
  <c r="M34" i="91"/>
  <c r="N34" i="91" s="1"/>
  <c r="S57" i="91"/>
  <c r="T57" i="91" s="1"/>
  <c r="G16" i="86"/>
  <c r="H16" i="86" s="1"/>
  <c r="H34" i="86"/>
  <c r="H42" i="86"/>
  <c r="F49" i="86"/>
  <c r="E34" i="86"/>
  <c r="E49" i="86"/>
  <c r="D57" i="86"/>
  <c r="I42" i="86"/>
  <c r="K42" i="86" s="1"/>
  <c r="J57" i="86"/>
  <c r="M26" i="86"/>
  <c r="N26" i="86" s="1"/>
  <c r="M49" i="86"/>
  <c r="N49" i="86" s="1"/>
  <c r="U42" i="86"/>
  <c r="W42" i="86" s="1"/>
  <c r="K35" i="83"/>
  <c r="E57" i="86" l="1"/>
  <c r="E41" i="94"/>
  <c r="T49" i="83"/>
  <c r="U49" i="83" s="1"/>
  <c r="W49" i="83" s="1"/>
  <c r="AT49" i="83"/>
  <c r="K6" i="83"/>
  <c r="J74" i="83"/>
  <c r="R74" i="91"/>
  <c r="E16" i="83"/>
  <c r="E20" i="94"/>
  <c r="P74" i="83"/>
  <c r="D74" i="86"/>
  <c r="O65" i="28"/>
  <c r="O57" i="28" s="1"/>
  <c r="Q57" i="28" s="1"/>
  <c r="AB57" i="28"/>
  <c r="AB42" i="28"/>
  <c r="O48" i="28"/>
  <c r="O42" i="28" s="1"/>
  <c r="T71" i="29"/>
  <c r="U71" i="29" s="1"/>
  <c r="U54" i="29"/>
  <c r="G8" i="97"/>
  <c r="AB8" i="97"/>
  <c r="D58" i="97"/>
  <c r="AE74" i="28"/>
  <c r="N42" i="83"/>
  <c r="W34" i="86"/>
  <c r="H49" i="86"/>
  <c r="D74" i="104"/>
  <c r="N34" i="86"/>
  <c r="P74" i="104"/>
  <c r="E57" i="83"/>
  <c r="E47" i="94"/>
  <c r="C57" i="91"/>
  <c r="F6" i="86"/>
  <c r="Z20" i="97"/>
  <c r="K42" i="91"/>
  <c r="M74" i="91"/>
  <c r="N74" i="91" s="1"/>
  <c r="N6" i="91"/>
  <c r="D74" i="91"/>
  <c r="E6" i="91"/>
  <c r="M74" i="104"/>
  <c r="T26" i="91"/>
  <c r="AT26" i="91"/>
  <c r="R42" i="91"/>
  <c r="T42" i="91" s="1"/>
  <c r="R6" i="83"/>
  <c r="C61" i="28"/>
  <c r="C57" i="28" s="1"/>
  <c r="X57" i="28"/>
  <c r="P74" i="91"/>
  <c r="Q74" i="91" s="1"/>
  <c r="Q6" i="91"/>
  <c r="M74" i="86"/>
  <c r="N74" i="86" s="1"/>
  <c r="O74" i="86"/>
  <c r="Q74" i="86" s="1"/>
  <c r="C16" i="91"/>
  <c r="Y21" i="97" s="1"/>
  <c r="X21" i="97" s="1"/>
  <c r="Y24" i="97"/>
  <c r="X24" i="97" s="1"/>
  <c r="F77" i="28"/>
  <c r="F80" i="28" s="1"/>
  <c r="U43" i="28"/>
  <c r="U42" i="28" s="1"/>
  <c r="W42" i="28" s="1"/>
  <c r="AD42" i="28"/>
  <c r="R53" i="29"/>
  <c r="R19" i="28"/>
  <c r="R16" i="28" s="1"/>
  <c r="AC16" i="28"/>
  <c r="AB9" i="97"/>
  <c r="G9" i="97"/>
  <c r="AB66" i="97"/>
  <c r="AB74" i="91"/>
  <c r="C12" i="28"/>
  <c r="C6" i="28" s="1"/>
  <c r="X6" i="28"/>
  <c r="U17" i="28"/>
  <c r="U16" i="28" s="1"/>
  <c r="W16" i="28" s="1"/>
  <c r="AD16" i="28"/>
  <c r="U74" i="104"/>
  <c r="E42" i="28"/>
  <c r="U36" i="28"/>
  <c r="U34" i="28" s="1"/>
  <c r="W34" i="28" s="1"/>
  <c r="AD34" i="28"/>
  <c r="B17" i="30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16" i="30"/>
  <c r="Y15" i="29"/>
  <c r="X71" i="29"/>
  <c r="Y71" i="29" s="1"/>
  <c r="R77" i="28"/>
  <c r="R80" i="28" s="1"/>
  <c r="F6" i="97"/>
  <c r="I7" i="28"/>
  <c r="Z6" i="28"/>
  <c r="Z74" i="28" s="1"/>
  <c r="I54" i="29"/>
  <c r="H71" i="29"/>
  <c r="I71" i="29" s="1"/>
  <c r="R57" i="83"/>
  <c r="T57" i="83" s="1"/>
  <c r="T20" i="28"/>
  <c r="S16" i="28"/>
  <c r="S74" i="28" s="1"/>
  <c r="S74" i="86"/>
  <c r="T74" i="86" s="1"/>
  <c r="T6" i="86"/>
  <c r="L11" i="94"/>
  <c r="G11" i="94"/>
  <c r="L15" i="94"/>
  <c r="G15" i="94"/>
  <c r="S74" i="83"/>
  <c r="T6" i="83"/>
  <c r="M74" i="83"/>
  <c r="N74" i="83" s="1"/>
  <c r="N6" i="83"/>
  <c r="AT49" i="91"/>
  <c r="T49" i="91"/>
  <c r="K6" i="86"/>
  <c r="R7" i="28"/>
  <c r="R6" i="28" s="1"/>
  <c r="AC6" i="28"/>
  <c r="F54" i="28"/>
  <c r="F49" i="28" s="1"/>
  <c r="H49" i="28" s="1"/>
  <c r="Y49" i="28"/>
  <c r="O74" i="83"/>
  <c r="Q6" i="83"/>
  <c r="F6" i="91"/>
  <c r="Z14" i="97"/>
  <c r="Z13" i="97" s="1"/>
  <c r="U50" i="28"/>
  <c r="U49" i="28" s="1"/>
  <c r="AD49" i="28"/>
  <c r="G74" i="28"/>
  <c r="D74" i="28"/>
  <c r="E6" i="28"/>
  <c r="I57" i="91"/>
  <c r="AA49" i="97"/>
  <c r="AB49" i="97" s="1"/>
  <c r="B27" i="12"/>
  <c r="D36" i="94"/>
  <c r="AC54" i="29"/>
  <c r="AB71" i="29"/>
  <c r="AC71" i="29" s="1"/>
  <c r="I6" i="91"/>
  <c r="AA14" i="97"/>
  <c r="P71" i="29"/>
  <c r="Q71" i="29" s="1"/>
  <c r="Q54" i="29"/>
  <c r="R58" i="28"/>
  <c r="R57" i="28" s="1"/>
  <c r="AC57" i="28"/>
  <c r="F27" i="56"/>
  <c r="C7" i="95" s="1"/>
  <c r="C6" i="95" s="1"/>
  <c r="F6" i="95" s="1"/>
  <c r="D7" i="95"/>
  <c r="D6" i="95" s="1"/>
  <c r="G6" i="95" s="1"/>
  <c r="L9" i="94"/>
  <c r="G9" i="94"/>
  <c r="C74" i="86"/>
  <c r="T34" i="83"/>
  <c r="AT34" i="83"/>
  <c r="V74" i="104"/>
  <c r="K26" i="86"/>
  <c r="AT42" i="83"/>
  <c r="T42" i="83"/>
  <c r="G60" i="97"/>
  <c r="AB60" i="97"/>
  <c r="H26" i="86"/>
  <c r="G62" i="97"/>
  <c r="AB62" i="97"/>
  <c r="S57" i="28"/>
  <c r="S77" i="28"/>
  <c r="S80" i="28" s="1"/>
  <c r="D74" i="83"/>
  <c r="E74" i="83" s="1"/>
  <c r="E6" i="83"/>
  <c r="N57" i="83"/>
  <c r="N16" i="83" s="1"/>
  <c r="G74" i="104"/>
  <c r="F57" i="86"/>
  <c r="T16" i="91"/>
  <c r="G74" i="91"/>
  <c r="H6" i="91"/>
  <c r="C6" i="91"/>
  <c r="H16" i="91"/>
  <c r="L48" i="28"/>
  <c r="L42" i="28" s="1"/>
  <c r="AA42" i="28"/>
  <c r="R43" i="28"/>
  <c r="R42" i="28" s="1"/>
  <c r="AC42" i="28"/>
  <c r="C42" i="91"/>
  <c r="E42" i="91" s="1"/>
  <c r="Y46" i="97"/>
  <c r="X46" i="97" s="1"/>
  <c r="F47" i="28"/>
  <c r="F42" i="28" s="1"/>
  <c r="H42" i="28" s="1"/>
  <c r="Y42" i="28"/>
  <c r="J74" i="86"/>
  <c r="Z11" i="97"/>
  <c r="Z6" i="97" s="1"/>
  <c r="I77" i="28"/>
  <c r="I80" i="28" s="1"/>
  <c r="AL6" i="83"/>
  <c r="AL74" i="83" s="1"/>
  <c r="AK74" i="83"/>
  <c r="U57" i="91"/>
  <c r="W57" i="91" s="1"/>
  <c r="U27" i="28"/>
  <c r="U26" i="28" s="1"/>
  <c r="AD26" i="28"/>
  <c r="F6" i="83"/>
  <c r="F74" i="83" s="1"/>
  <c r="U6" i="91"/>
  <c r="D67" i="97"/>
  <c r="I78" i="28"/>
  <c r="U79" i="28"/>
  <c r="R31" i="28"/>
  <c r="R26" i="28" s="1"/>
  <c r="AC26" i="28"/>
  <c r="C49" i="91"/>
  <c r="E49" i="91" s="1"/>
  <c r="Y11" i="97"/>
  <c r="C31" i="28"/>
  <c r="C26" i="28" s="1"/>
  <c r="E26" i="28" s="1"/>
  <c r="X26" i="28"/>
  <c r="C25" i="94"/>
  <c r="H25" i="94" s="1"/>
  <c r="J53" i="29"/>
  <c r="T42" i="28"/>
  <c r="S78" i="28"/>
  <c r="Q34" i="28"/>
  <c r="J74" i="28"/>
  <c r="U34" i="91"/>
  <c r="W34" i="91" s="1"/>
  <c r="P74" i="28"/>
  <c r="U59" i="83"/>
  <c r="AD56" i="29"/>
  <c r="AD54" i="29" s="1"/>
  <c r="AD71" i="29" s="1"/>
  <c r="D46" i="95"/>
  <c r="G46" i="95" s="1"/>
  <c r="G14" i="94"/>
  <c r="G10" i="97"/>
  <c r="AE74" i="91"/>
  <c r="AA71" i="97"/>
  <c r="G21" i="94"/>
  <c r="S79" i="28"/>
  <c r="T32" i="28"/>
  <c r="G40" i="94"/>
  <c r="L40" i="94"/>
  <c r="D12" i="95"/>
  <c r="G13" i="95"/>
  <c r="D6" i="94"/>
  <c r="G7" i="94"/>
  <c r="L7" i="94"/>
  <c r="R50" i="28"/>
  <c r="R49" i="28" s="1"/>
  <c r="T49" i="28" s="1"/>
  <c r="AC49" i="28"/>
  <c r="C46" i="28"/>
  <c r="C42" i="28" s="1"/>
  <c r="X42" i="28"/>
  <c r="I74" i="83"/>
  <c r="U58" i="28"/>
  <c r="U57" i="28" s="1"/>
  <c r="W57" i="28" s="1"/>
  <c r="AD57" i="28"/>
  <c r="M74" i="28"/>
  <c r="N6" i="28"/>
  <c r="R16" i="30"/>
  <c r="R17" i="30"/>
  <c r="R18" i="30" s="1"/>
  <c r="R19" i="30" s="1"/>
  <c r="R20" i="30" s="1"/>
  <c r="R21" i="30" s="1"/>
  <c r="R22" i="30" s="1"/>
  <c r="R23" i="30" s="1"/>
  <c r="R24" i="30" s="1"/>
  <c r="R25" i="30" s="1"/>
  <c r="R26" i="30" s="1"/>
  <c r="R27" i="30" s="1"/>
  <c r="L19" i="94"/>
  <c r="G19" i="94"/>
  <c r="I58" i="28"/>
  <c r="I79" i="28" s="1"/>
  <c r="Z57" i="28"/>
  <c r="F59" i="28"/>
  <c r="F57" i="28" s="1"/>
  <c r="H57" i="28" s="1"/>
  <c r="Y57" i="28"/>
  <c r="T26" i="83"/>
  <c r="AT26" i="83"/>
  <c r="Q42" i="83"/>
  <c r="G74" i="83"/>
  <c r="H74" i="83" s="1"/>
  <c r="O77" i="28"/>
  <c r="O80" i="28" s="1"/>
  <c r="S74" i="91"/>
  <c r="T6" i="91"/>
  <c r="J74" i="91"/>
  <c r="K6" i="91"/>
  <c r="C26" i="91"/>
  <c r="E26" i="91" s="1"/>
  <c r="I57" i="86"/>
  <c r="AA50" i="97" s="1"/>
  <c r="AB50" i="97" s="1"/>
  <c r="T34" i="91"/>
  <c r="AT34" i="91"/>
  <c r="H49" i="91"/>
  <c r="H50" i="91"/>
  <c r="V16" i="30"/>
  <c r="V24" i="30"/>
  <c r="V25" i="30" s="1"/>
  <c r="V26" i="30" s="1"/>
  <c r="V27" i="30" s="1"/>
  <c r="G12" i="97"/>
  <c r="AB12" i="97"/>
  <c r="V74" i="86"/>
  <c r="W74" i="86" s="1"/>
  <c r="G74" i="86"/>
  <c r="C74" i="83"/>
  <c r="C19" i="28"/>
  <c r="C16" i="28" s="1"/>
  <c r="E16" i="28" s="1"/>
  <c r="X16" i="28"/>
  <c r="C15" i="94"/>
  <c r="U57" i="83"/>
  <c r="W57" i="83" s="1"/>
  <c r="O7" i="28"/>
  <c r="AB6" i="28"/>
  <c r="AB74" i="28" s="1"/>
  <c r="L70" i="28"/>
  <c r="AA57" i="28"/>
  <c r="F79" i="28"/>
  <c r="AE74" i="83"/>
  <c r="AF6" i="83"/>
  <c r="AF74" i="83" s="1"/>
  <c r="U26" i="91"/>
  <c r="F7" i="28"/>
  <c r="Y6" i="28"/>
  <c r="AB74" i="83"/>
  <c r="U7" i="28"/>
  <c r="U6" i="28" s="1"/>
  <c r="U74" i="28" s="1"/>
  <c r="W74" i="28" s="1"/>
  <c r="AD6" i="28"/>
  <c r="AD74" i="28" s="1"/>
  <c r="AK74" i="91"/>
  <c r="C54" i="28"/>
  <c r="C49" i="28" s="1"/>
  <c r="E49" i="28" s="1"/>
  <c r="X49" i="28"/>
  <c r="Y18" i="97"/>
  <c r="F57" i="91"/>
  <c r="Z57" i="97" s="1"/>
  <c r="Z56" i="97" s="1"/>
  <c r="AB11" i="97"/>
  <c r="G11" i="97"/>
  <c r="U16" i="91"/>
  <c r="W16" i="91" s="1"/>
  <c r="Q42" i="28"/>
  <c r="E57" i="28"/>
  <c r="N53" i="29"/>
  <c r="F16" i="30"/>
  <c r="F32" i="30" s="1"/>
  <c r="F17" i="30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G18" i="94"/>
  <c r="S26" i="28"/>
  <c r="T26" i="28" s="1"/>
  <c r="T28" i="28"/>
  <c r="F13" i="97"/>
  <c r="G13" i="97"/>
  <c r="E68" i="97"/>
  <c r="F12" i="95"/>
  <c r="C50" i="95"/>
  <c r="F50" i="95" s="1"/>
  <c r="R79" i="28"/>
  <c r="G38" i="94"/>
  <c r="L38" i="94"/>
  <c r="R78" i="28"/>
  <c r="L22" i="94"/>
  <c r="G22" i="94"/>
  <c r="D12" i="94"/>
  <c r="L13" i="94"/>
  <c r="G13" i="94"/>
  <c r="L17" i="94"/>
  <c r="G17" i="94"/>
  <c r="F6" i="28" l="1"/>
  <c r="F78" i="28"/>
  <c r="D48" i="94"/>
  <c r="D51" i="94" s="1"/>
  <c r="L12" i="94"/>
  <c r="G12" i="94"/>
  <c r="T74" i="91"/>
  <c r="AT74" i="91"/>
  <c r="D50" i="95"/>
  <c r="G12" i="95"/>
  <c r="AA57" i="97"/>
  <c r="K57" i="91"/>
  <c r="AC13" i="97"/>
  <c r="X74" i="28"/>
  <c r="F74" i="86"/>
  <c r="H6" i="86"/>
  <c r="E74" i="86"/>
  <c r="F68" i="97"/>
  <c r="U78" i="28"/>
  <c r="U74" i="83"/>
  <c r="W74" i="83" s="1"/>
  <c r="C79" i="28"/>
  <c r="H74" i="86"/>
  <c r="G67" i="97"/>
  <c r="AB67" i="97"/>
  <c r="C74" i="91"/>
  <c r="H57" i="86"/>
  <c r="Z50" i="97"/>
  <c r="AB14" i="97"/>
  <c r="AA13" i="97"/>
  <c r="AB13" i="97" s="1"/>
  <c r="G36" i="94"/>
  <c r="L36" i="94"/>
  <c r="F74" i="91"/>
  <c r="I6" i="28"/>
  <c r="D7" i="97"/>
  <c r="C74" i="28"/>
  <c r="R74" i="83"/>
  <c r="T74" i="83" s="1"/>
  <c r="H57" i="91"/>
  <c r="Q74" i="83"/>
  <c r="K74" i="83"/>
  <c r="H41" i="94"/>
  <c r="L41" i="94"/>
  <c r="F41" i="94"/>
  <c r="G41" i="94" s="1"/>
  <c r="L57" i="28"/>
  <c r="N57" i="28" s="1"/>
  <c r="L77" i="28"/>
  <c r="L80" i="28" s="1"/>
  <c r="R74" i="28"/>
  <c r="T74" i="28" s="1"/>
  <c r="AT74" i="83"/>
  <c r="G58" i="97"/>
  <c r="AB58" i="97"/>
  <c r="Z68" i="97"/>
  <c r="H15" i="94"/>
  <c r="C12" i="94"/>
  <c r="U77" i="28"/>
  <c r="U80" i="28" s="1"/>
  <c r="X18" i="97"/>
  <c r="Y13" i="97"/>
  <c r="X13" i="97" s="1"/>
  <c r="Y74" i="28"/>
  <c r="C77" i="28"/>
  <c r="C80" i="28" s="1"/>
  <c r="O6" i="28"/>
  <c r="O78" i="28"/>
  <c r="H6" i="83"/>
  <c r="I57" i="28"/>
  <c r="D57" i="97"/>
  <c r="L6" i="94"/>
  <c r="G6" i="94"/>
  <c r="U74" i="91"/>
  <c r="W74" i="91" s="1"/>
  <c r="AA74" i="28"/>
  <c r="I74" i="91"/>
  <c r="K74" i="91" s="1"/>
  <c r="E74" i="28"/>
  <c r="I74" i="86"/>
  <c r="K74" i="86" s="1"/>
  <c r="E57" i="91"/>
  <c r="Y57" i="97"/>
  <c r="H20" i="94"/>
  <c r="L20" i="94"/>
  <c r="F20" i="94"/>
  <c r="G20" i="94" s="1"/>
  <c r="X11" i="97"/>
  <c r="Y6" i="97"/>
  <c r="N42" i="28"/>
  <c r="L74" i="28"/>
  <c r="N74" i="28" s="1"/>
  <c r="H74" i="91"/>
  <c r="AC74" i="28"/>
  <c r="T16" i="28"/>
  <c r="E74" i="91"/>
  <c r="E46" i="94"/>
  <c r="F47" i="94"/>
  <c r="L47" i="94"/>
  <c r="H47" i="94"/>
  <c r="D53" i="95" l="1"/>
  <c r="G50" i="95"/>
  <c r="Y56" i="97"/>
  <c r="X57" i="97"/>
  <c r="C48" i="94"/>
  <c r="H12" i="94"/>
  <c r="AB7" i="97"/>
  <c r="AB6" i="97" s="1"/>
  <c r="G7" i="97"/>
  <c r="D6" i="97"/>
  <c r="F46" i="94"/>
  <c r="G47" i="94"/>
  <c r="D56" i="97"/>
  <c r="G56" i="97" s="1"/>
  <c r="G57" i="97"/>
  <c r="I74" i="28"/>
  <c r="K74" i="28" s="1"/>
  <c r="K6" i="28"/>
  <c r="AB57" i="97"/>
  <c r="AA56" i="97"/>
  <c r="L46" i="94"/>
  <c r="E48" i="94"/>
  <c r="H46" i="94"/>
  <c r="O74" i="28"/>
  <c r="Q74" i="28" s="1"/>
  <c r="Q6" i="28"/>
  <c r="F74" i="28"/>
  <c r="H74" i="28" s="1"/>
  <c r="H6" i="28"/>
  <c r="AA68" i="97" l="1"/>
  <c r="AB56" i="97"/>
  <c r="AB68" i="97" s="1"/>
  <c r="D68" i="97"/>
  <c r="G6" i="97"/>
  <c r="L48" i="94"/>
  <c r="H48" i="94"/>
  <c r="X56" i="97"/>
  <c r="Y68" i="97"/>
  <c r="X68" i="97" s="1"/>
  <c r="F48" i="94"/>
  <c r="G48" i="94" s="1"/>
  <c r="G46" i="94"/>
  <c r="D71" i="97" l="1"/>
  <c r="G68" i="97"/>
</calcChain>
</file>

<file path=xl/sharedStrings.xml><?xml version="1.0" encoding="utf-8"?>
<sst xmlns="http://schemas.openxmlformats.org/spreadsheetml/2006/main" count="4719" uniqueCount="283">
  <si>
    <t>Стационар</t>
  </si>
  <si>
    <t>Дневной стационар</t>
  </si>
  <si>
    <t>Поликлиника</t>
  </si>
  <si>
    <t>период</t>
  </si>
  <si>
    <t>Январь</t>
  </si>
  <si>
    <t>совита</t>
  </si>
  <si>
    <t>ВСЕГО</t>
  </si>
  <si>
    <t>Февраль</t>
  </si>
  <si>
    <t>Март</t>
  </si>
  <si>
    <t>I квартал</t>
  </si>
  <si>
    <t>Август</t>
  </si>
  <si>
    <t>Сентябрь</t>
  </si>
  <si>
    <t>Октябрь</t>
  </si>
  <si>
    <t>Ноябрь</t>
  </si>
  <si>
    <t>Декабрь</t>
  </si>
  <si>
    <t>год</t>
  </si>
  <si>
    <t>Апрель</t>
  </si>
  <si>
    <t>Май</t>
  </si>
  <si>
    <t>Июнь</t>
  </si>
  <si>
    <t>Июль</t>
  </si>
  <si>
    <t>стационар</t>
  </si>
  <si>
    <t>дневной стационар</t>
  </si>
  <si>
    <t>поликлиника</t>
  </si>
  <si>
    <t xml:space="preserve"> </t>
  </si>
  <si>
    <t>Всего</t>
  </si>
  <si>
    <t>в том числе</t>
  </si>
  <si>
    <t>РГС</t>
  </si>
  <si>
    <t>Совита</t>
  </si>
  <si>
    <t>2 мес</t>
  </si>
  <si>
    <t>4 мес</t>
  </si>
  <si>
    <t>5 мес</t>
  </si>
  <si>
    <t>полугодие</t>
  </si>
  <si>
    <t>7 мес</t>
  </si>
  <si>
    <t>8 мес</t>
  </si>
  <si>
    <t>9 мес</t>
  </si>
  <si>
    <t>10 мес</t>
  </si>
  <si>
    <t>11 мес</t>
  </si>
  <si>
    <t>1 квартал</t>
  </si>
  <si>
    <t>В ТОМ ЧИСЛЕ СТОМАТОЛОГИЯ</t>
  </si>
  <si>
    <t>%</t>
  </si>
  <si>
    <t>План</t>
  </si>
  <si>
    <t>Наименование ЛПУ</t>
  </si>
  <si>
    <t>факт</t>
  </si>
  <si>
    <t>выставлено</t>
  </si>
  <si>
    <t>Принято</t>
  </si>
  <si>
    <t>кол-во</t>
  </si>
  <si>
    <t>принято</t>
  </si>
  <si>
    <t>Выставлено</t>
  </si>
  <si>
    <t>к оплате</t>
  </si>
  <si>
    <t>Дневной стац</t>
  </si>
  <si>
    <t>к/дни</t>
  </si>
  <si>
    <t xml:space="preserve">счетов </t>
  </si>
  <si>
    <t>человек</t>
  </si>
  <si>
    <t>посещ</t>
  </si>
  <si>
    <t>Антроповская ЦPБ</t>
  </si>
  <si>
    <t>Буйская ЦPБ</t>
  </si>
  <si>
    <t>Гавриловская участ. б-ца</t>
  </si>
  <si>
    <t>Ореховская участ. б-ца</t>
  </si>
  <si>
    <t>Парфеньевская ЦPБ</t>
  </si>
  <si>
    <t>Солигаличская ЦPБ</t>
  </si>
  <si>
    <t>Чухломская ЦPБ</t>
  </si>
  <si>
    <t>Кадыйская ЦPБ</t>
  </si>
  <si>
    <t>Завражная участ. бол-ца</t>
  </si>
  <si>
    <t>Кологривская ЦPБ</t>
  </si>
  <si>
    <t>Макарьевская ЦPБ</t>
  </si>
  <si>
    <t>Спасская участ.б-ца</t>
  </si>
  <si>
    <t>Межевская ЦPБ</t>
  </si>
  <si>
    <t>Нейская ЦPБ</t>
  </si>
  <si>
    <t>Шарьинская ЦPБ</t>
  </si>
  <si>
    <t>Стомат. пол-ка г.Шарья</t>
  </si>
  <si>
    <t xml:space="preserve">Рождественская РБ </t>
  </si>
  <si>
    <t>Поназыревская ЦPБ</t>
  </si>
  <si>
    <t>Пыщугская ЦPБ</t>
  </si>
  <si>
    <t>Павинская ЦPБ</t>
  </si>
  <si>
    <t>Вохомская ЦPБ</t>
  </si>
  <si>
    <t>Боговаровская ЦРБ</t>
  </si>
  <si>
    <t xml:space="preserve">  Центральный филиал, всего</t>
  </si>
  <si>
    <t>г.Кострома в т.ч.</t>
  </si>
  <si>
    <t xml:space="preserve"> - городские ЛПУ всего</t>
  </si>
  <si>
    <t>Роддом  1</t>
  </si>
  <si>
    <t>1-ая горбол-ца</t>
  </si>
  <si>
    <t>2-ая горбольница</t>
  </si>
  <si>
    <t>Детская горбольница</t>
  </si>
  <si>
    <t>Пол-ка взросл. 4</t>
  </si>
  <si>
    <t>Стоматологическая пол-ка № 1</t>
  </si>
  <si>
    <t>Стоматологическая пол-ка № 2</t>
  </si>
  <si>
    <t>Медслужба УВД</t>
  </si>
  <si>
    <t>Волгореченская больница</t>
  </si>
  <si>
    <t>Костромская ЦPБ</t>
  </si>
  <si>
    <t>Красносельская ЦPБ</t>
  </si>
  <si>
    <t>Нерехтская ЦPБ</t>
  </si>
  <si>
    <t>Стомат.пол-ка г.Нерехта</t>
  </si>
  <si>
    <t>Островская ЦPБ</t>
  </si>
  <si>
    <t>Судиславская ЦPБ</t>
  </si>
  <si>
    <t>Сусанинская ЦPБ</t>
  </si>
  <si>
    <t>ИТОГО ПО ВСЕМ ФИЛИАЛАМ</t>
  </si>
  <si>
    <t>3 мес</t>
  </si>
  <si>
    <t>(РГС - Кострома - медицина)</t>
  </si>
  <si>
    <t>ООО "Центр красоты и здоровья"</t>
  </si>
  <si>
    <t>ООО "Оптима"</t>
  </si>
  <si>
    <t>3 МЕС</t>
  </si>
  <si>
    <t>Поликлиника+стоматология</t>
  </si>
  <si>
    <t>Факт</t>
  </si>
  <si>
    <t>ООО"ЗУБиК"</t>
  </si>
  <si>
    <t>(оперативная информация)</t>
  </si>
  <si>
    <t>МАКС-М</t>
  </si>
  <si>
    <t>МКС-М</t>
  </si>
  <si>
    <t>3мес</t>
  </si>
  <si>
    <t>Галичская ГБ</t>
  </si>
  <si>
    <t>Мантуровская ГБ</t>
  </si>
  <si>
    <t>Прозрение</t>
  </si>
  <si>
    <t>Доктор Ульянов</t>
  </si>
  <si>
    <t>ООО "Кристалл"</t>
  </si>
  <si>
    <t>макс-м</t>
  </si>
  <si>
    <t>(МСК "МАКС-М")</t>
  </si>
  <si>
    <t>(МСК "Солидарность для жизни" )</t>
  </si>
  <si>
    <t>Обл.кожвендиспансер</t>
  </si>
  <si>
    <t>Обл.онкодиспансер</t>
  </si>
  <si>
    <t>Обл. стоматолог.пол-ка</t>
  </si>
  <si>
    <t>Обл.кардиодиспансер</t>
  </si>
  <si>
    <t>Обл.госпиталь для ВВ</t>
  </si>
  <si>
    <t>Областная больница</t>
  </si>
  <si>
    <t>Уч. здравоохр. иной формы собственности</t>
  </si>
  <si>
    <t>Муниципальные учрежд. здравоохранения</t>
  </si>
  <si>
    <t>Государственные учрежд. здравоохранения</t>
  </si>
  <si>
    <t>Буйская узловая поликлиника</t>
  </si>
  <si>
    <t>Шарьинская узл.поликлиника</t>
  </si>
  <si>
    <t>МАКС</t>
  </si>
  <si>
    <t>на год</t>
  </si>
  <si>
    <t>к году</t>
  </si>
  <si>
    <t>мес</t>
  </si>
  <si>
    <t>макс</t>
  </si>
  <si>
    <t>Выполнение муниципального задания по программе ОМС за 11 месяцев 2010 года</t>
  </si>
  <si>
    <t>к 11 мес</t>
  </si>
  <si>
    <t>ООО "Зубной чародей"</t>
  </si>
  <si>
    <t>ООО "Эстетика"</t>
  </si>
  <si>
    <t>ИТОГО</t>
  </si>
  <si>
    <t>Костромской центр СВМП</t>
  </si>
  <si>
    <t>Центр восст.мед.и реаб.для детей</t>
  </si>
  <si>
    <t>Антроповская PБ</t>
  </si>
  <si>
    <t>Буйская ГБ</t>
  </si>
  <si>
    <t>Галичская ОБ</t>
  </si>
  <si>
    <t>Солигаличская PБ</t>
  </si>
  <si>
    <t>Кадыйская PБ</t>
  </si>
  <si>
    <t>Кологривская PБ</t>
  </si>
  <si>
    <t>Макарьевская PБ</t>
  </si>
  <si>
    <t>Мантуровская ОБ</t>
  </si>
  <si>
    <t>Межевская PБ</t>
  </si>
  <si>
    <t>Нейская PБ</t>
  </si>
  <si>
    <t>Шарьинская ОБ</t>
  </si>
  <si>
    <t>Поназыревская PБ</t>
  </si>
  <si>
    <t>Пыщугская PБ</t>
  </si>
  <si>
    <t>Павинская PБ</t>
  </si>
  <si>
    <t>Вохомская PБ</t>
  </si>
  <si>
    <t>Боговаровская РБ</t>
  </si>
  <si>
    <t>Роддом  г.Костромы</t>
  </si>
  <si>
    <t>Городская бол-ца г.Костромы</t>
  </si>
  <si>
    <t>ОБ Костромского округа № 1</t>
  </si>
  <si>
    <t>Костромская областная больница</t>
  </si>
  <si>
    <t>Костромская обл.детская больница</t>
  </si>
  <si>
    <t>Городская по-ка  взросл.№ 4</t>
  </si>
  <si>
    <t>Волгореченская ГБ</t>
  </si>
  <si>
    <t>ОБ Костромского округа № 2</t>
  </si>
  <si>
    <t>Красносельская PБ</t>
  </si>
  <si>
    <t>Островская PБ</t>
  </si>
  <si>
    <t>Судиславская PБ</t>
  </si>
  <si>
    <t>Сусанинская PБ</t>
  </si>
  <si>
    <t>Медсанчасть МВД РФ</t>
  </si>
  <si>
    <t xml:space="preserve"> Узл.поликлиника на ст.Шарья</t>
  </si>
  <si>
    <t>Узловая пол-ка на ст.Буй</t>
  </si>
  <si>
    <t>Госпиталь ФГУ 1586 МО</t>
  </si>
  <si>
    <t>ФКУ ИК № 1 УФСИН КО</t>
  </si>
  <si>
    <t>Скорая МП</t>
  </si>
  <si>
    <t>Диализ</t>
  </si>
  <si>
    <t>вызовов</t>
  </si>
  <si>
    <t>План на 2013 год</t>
  </si>
  <si>
    <t>Станция скорой МП</t>
  </si>
  <si>
    <t>неотложная МП</t>
  </si>
  <si>
    <t>ООО "Центр планир. Семьи"</t>
  </si>
  <si>
    <t>ООО"Азимут"</t>
  </si>
  <si>
    <t>ООО "Стоматология для всех"</t>
  </si>
  <si>
    <t>ООО "Прозрение"</t>
  </si>
  <si>
    <t>ООО "ЦАХ"</t>
  </si>
  <si>
    <t>процедуры</t>
  </si>
  <si>
    <t>Неотложная мед.помощь</t>
  </si>
  <si>
    <t>обращения</t>
  </si>
  <si>
    <t>ргс</t>
  </si>
  <si>
    <t>проверка</t>
  </si>
  <si>
    <t>Скорая</t>
  </si>
  <si>
    <t>Стац.</t>
  </si>
  <si>
    <t>Дн.стац.</t>
  </si>
  <si>
    <t>Областные учрежд. здравоохранения</t>
  </si>
  <si>
    <t>Обращения</t>
  </si>
  <si>
    <t>Неотложка</t>
  </si>
  <si>
    <t>ФАП</t>
  </si>
  <si>
    <t>вызовы</t>
  </si>
  <si>
    <t>по подуш.</t>
  </si>
  <si>
    <t>ФКУЗ Медсанчасть МВД РФ по Костромской обл.</t>
  </si>
  <si>
    <t>Госпиталь структ. Подразд. ФГУ "1586 ОВКГ МВО" Мин.обороны РФ</t>
  </si>
  <si>
    <t>ФКУ ИК № 1 УФСИН России по Костромской области</t>
  </si>
  <si>
    <t>ООО "Центр амбулаторной хирургии"</t>
  </si>
  <si>
    <t>ОГБУЗ "Центр восстановительной медициныи реабилитации для детей"</t>
  </si>
  <si>
    <t>ОГБУЗ  "Центр планирования семьи и репродукции КО "Центр матери и ребенка"</t>
  </si>
  <si>
    <t>ОГБУЗ "Галичская окружная больница"</t>
  </si>
  <si>
    <t>ОГБУЗ "Ореховская участковая больница"</t>
  </si>
  <si>
    <t>ОГБУЗ "Мантуровская окружная бодьница"</t>
  </si>
  <si>
    <t>ОГБУЗ "Спасская участковая больница"</t>
  </si>
  <si>
    <t>ОГБУЗ "Шарьинская окружная больница имени Каверина В.Ф."</t>
  </si>
  <si>
    <t>ОГБУЗ" Родильный дом  г.Костромы"</t>
  </si>
  <si>
    <t>ОГБУЗ "Городская больница г.Костромы"</t>
  </si>
  <si>
    <t>ОГБУЗ" Окружная больница Костромского округа № 1"</t>
  </si>
  <si>
    <t>ОГБУЗ "Костромская областная детская больница"</t>
  </si>
  <si>
    <t>ОГБУЗ "Городская поиклиника № 4 г.Костромы"</t>
  </si>
  <si>
    <t>ОГБУЗ "Окружная больница Костромского округа № 2"</t>
  </si>
  <si>
    <t>ОГБУЗ Стоматологическая поликлиника г.Нерехты"</t>
  </si>
  <si>
    <t>Частное учреждение "Медицинская организация "Нефрологический эспертный.совет"</t>
  </si>
  <si>
    <t>НУЗ "Узловая поликлиника на ст.БУЙ ОАО "РЖД"</t>
  </si>
  <si>
    <t xml:space="preserve"> НУЗ "Узловая поликлиника на ст.Шарья ОАО "РЖД"</t>
  </si>
  <si>
    <t>ОГБУЗ "Станция скорой медицинской помощи г.Костромы"</t>
  </si>
  <si>
    <t>ОГБУЗ "Костромская областная стоматологическая поликлиника"</t>
  </si>
  <si>
    <t>ОГБУЗ "Костромской онкологический диспансер"</t>
  </si>
  <si>
    <t>ОГБУЗ "Костромской центр специализированных видов помощи"</t>
  </si>
  <si>
    <t>ОГБУЗ "Костромкой кардиологический диспансер"</t>
  </si>
  <si>
    <t>ОГБУЗ "Областной госпиталь для ветеранов войн"</t>
  </si>
  <si>
    <t>ОГБУЗ" Костромская областная больница"</t>
  </si>
  <si>
    <t>ОГБУЗ "Антроповская районная больница"</t>
  </si>
  <si>
    <t>ОГБУЗ "Буйская городская больница"</t>
  </si>
  <si>
    <t>ОГБУЗ "Гавриловская участковая больница"</t>
  </si>
  <si>
    <t>ОГБУЗ "Парфеньевская центральная районная больница"</t>
  </si>
  <si>
    <t>ОГБУЗ "Солигаличская районная больница"</t>
  </si>
  <si>
    <t>ОГБУЗ "Чухломская районная больница"</t>
  </si>
  <si>
    <t>ОГБУЗ "Кадыйская районная больница"</t>
  </si>
  <si>
    <t>ОГБУЗ "Кологривская районная больница"</t>
  </si>
  <si>
    <t>ОГБУЗ "Макарьевская макарьевская районная больница"</t>
  </si>
  <si>
    <t>ОГБУЗ "Межевская районная больница"</t>
  </si>
  <si>
    <t>ОГБУЗ "Нейская районная больница"</t>
  </si>
  <si>
    <t>ОГБУЗ "Рождественская районная больница"</t>
  </si>
  <si>
    <t>ОГБУЗ "Поназыревская районная больница"</t>
  </si>
  <si>
    <t>ОГБУЗ "Пыщугская районная больница"</t>
  </si>
  <si>
    <t>ОГБУЗ "Павинская районная больница"</t>
  </si>
  <si>
    <t>ОГБУЗ "Вохомская центральная районная больница"</t>
  </si>
  <si>
    <t>ОГБУЗ "Боговаровская районная больница"</t>
  </si>
  <si>
    <t>ОГБУЗ "Волгореченская городская больница"</t>
  </si>
  <si>
    <t>ОГБУЗ" Красносельская районная больница"</t>
  </si>
  <si>
    <t>ОГБУЗ "Нерехтская центральная районная больница"</t>
  </si>
  <si>
    <t>ОГБУЗ "Островская районная больница"</t>
  </si>
  <si>
    <t>ОГБУЗ "Судиславская районная больница"</t>
  </si>
  <si>
    <t>ОГБУЗ "Сусанинская районная больница"</t>
  </si>
  <si>
    <t>Скорая помощь</t>
  </si>
  <si>
    <t>ЧУ "Медицинская организация "Нефрологический эспертный совет"</t>
  </si>
  <si>
    <t>Госпиталь  ФГУ "1586 ОВКГ МВО" Мин.обороны РФ</t>
  </si>
  <si>
    <t>ОГБУЗ "Центр план. семьи и репр.КО "Центр матери и ребенка"</t>
  </si>
  <si>
    <t>ОГБУЗ "Городская стоматологическая поликлиника № 1"</t>
  </si>
  <si>
    <t>скорая</t>
  </si>
  <si>
    <t>диализ</t>
  </si>
  <si>
    <t>нина</t>
  </si>
  <si>
    <t>Ира</t>
  </si>
  <si>
    <t>Лена</t>
  </si>
  <si>
    <t>ФКУ ИК № 1 УФСИН России по Костромской области 3680 стац</t>
  </si>
  <si>
    <t>поликл.</t>
  </si>
  <si>
    <t xml:space="preserve">ОГБУЗ "Городская больница г.Костромы" </t>
  </si>
  <si>
    <t>Муниципальное задание на 2013 год</t>
  </si>
  <si>
    <t>неотложная МП   поликлиника     обращения</t>
  </si>
  <si>
    <t xml:space="preserve">  неотложная МП       поликлиника, обращения</t>
  </si>
  <si>
    <t xml:space="preserve"> неотложная МП  поликлиника  обращения</t>
  </si>
  <si>
    <t>ОГБУЗ "Центр восстановительной медицины и реабилитации для детей"</t>
  </si>
  <si>
    <t>Приложение к протоколу № 13 от 25 июня 2013 года</t>
  </si>
  <si>
    <t>Исполнитель Колесова Н.В.</t>
  </si>
  <si>
    <t>ООО "Костромской офтальмологический центр "Прозрение"</t>
  </si>
  <si>
    <t>Первый Костромской  медицинский округ</t>
  </si>
  <si>
    <t>Второй Костромской медицинский округ</t>
  </si>
  <si>
    <t>Буско-Галичский медицинский округ</t>
  </si>
  <si>
    <t>Мантуровский медицинский округ</t>
  </si>
  <si>
    <t>Шарьинский медицинский округ</t>
  </si>
  <si>
    <t>ОГБУЗ "Красносельская районная больница"</t>
  </si>
  <si>
    <t>ОГБУЗ "Волгореченская городская больница2"</t>
  </si>
  <si>
    <t>Учреждения здравоохранения иной формы собственности</t>
  </si>
  <si>
    <t>Буйско-Галичский медицинский округ</t>
  </si>
  <si>
    <t>Государственные учреждения здравоохранения</t>
  </si>
  <si>
    <t>ОГБУЗ "Макарьевская  районная больница"</t>
  </si>
  <si>
    <t>неотложка</t>
  </si>
  <si>
    <t>ОГБУЗ" Костромская областна клиническая больница"</t>
  </si>
  <si>
    <t>Выполнение муниципального задания по программе ОМС за 11 месяцев 2013 года (по постановлению 597-а от 26,12,13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</si>
</sst>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9" formatCode="_-* #,##0_р_._-;\-* #,##0_р_._-;_-* &quot;-&quot;_р_._-;_-@_-"/>
    <numFmt numFmtId="171" formatCode="_-* #,##0.00_р_._-;\-* #,##0.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3" formatCode="#,##0.00_р_."/>
    <numFmt numFmtId="184" formatCode="#,##0_р_."/>
    <numFmt numFmtId="185" formatCode="#,##0.0_р_."/>
    <numFmt numFmtId="186" formatCode="_-* #,##0.00_р_._-;\-* #,##0.00_р_._-;_-* &quot;-&quot;_р_._-;_-@_-"/>
    <numFmt numFmtId="188" formatCode="#,##0.000_р_."/>
    <numFmt numFmtId="189" formatCode="#,##0.0000_р_."/>
    <numFmt numFmtId="200" formatCode="_-* #,##0.000000_р_._-;\-* #,##0.000000_р_._-;_-* &quot;-&quot;??_р_._-;_-@_-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"/>
      <charset val="204"/>
    </font>
    <font>
      <b/>
      <sz val="12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Arial"/>
      <charset val="204"/>
    </font>
    <font>
      <i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charset val="204"/>
    </font>
    <font>
      <sz val="13"/>
      <name val="Arial"/>
      <family val="2"/>
      <charset val="204"/>
    </font>
    <font>
      <b/>
      <i/>
      <sz val="13"/>
      <name val="Arial"/>
      <family val="2"/>
      <charset val="204"/>
    </font>
    <font>
      <b/>
      <sz val="13"/>
      <name val="Arial"/>
      <charset val="204"/>
    </font>
    <font>
      <b/>
      <i/>
      <sz val="13"/>
      <name val="Arial"/>
      <charset val="204"/>
    </font>
    <font>
      <sz val="10"/>
      <color indexed="8"/>
      <name val="Arial Cyr"/>
      <charset val="204"/>
    </font>
    <font>
      <sz val="10"/>
      <name val="Arial"/>
      <charset val="204"/>
    </font>
    <font>
      <b/>
      <sz val="9"/>
      <name val="Arial"/>
      <family val="2"/>
      <charset val="204"/>
    </font>
    <font>
      <b/>
      <i/>
      <sz val="10"/>
      <name val="Arial"/>
      <charset val="204"/>
    </font>
    <font>
      <b/>
      <i/>
      <sz val="11"/>
      <name val="Arial"/>
      <family val="2"/>
      <charset val="204"/>
    </font>
    <font>
      <b/>
      <i/>
      <sz val="11"/>
      <name val="Arial"/>
      <charset val="204"/>
    </font>
    <font>
      <b/>
      <sz val="11"/>
      <name val="Arial"/>
      <family val="2"/>
      <charset val="204"/>
    </font>
    <font>
      <sz val="11"/>
      <name val="Arial"/>
      <charset val="204"/>
    </font>
    <font>
      <sz val="11"/>
      <name val="Arial Cyr"/>
      <charset val="204"/>
    </font>
    <font>
      <b/>
      <sz val="10"/>
      <color indexed="8"/>
      <name val="Arial Cyr"/>
      <charset val="204"/>
    </font>
    <font>
      <b/>
      <sz val="12"/>
      <color indexed="8"/>
      <name val="Arial Cyr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9"/>
      <name val="Arial"/>
      <charset val="204"/>
    </font>
    <font>
      <sz val="11"/>
      <color indexed="8"/>
      <name val="Arial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32"/>
      </patternFill>
    </fill>
    <fill>
      <patternFill patternType="solid">
        <fgColor indexed="42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32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32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3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Border="0" applyAlignment="0" applyProtection="0"/>
  </cellStyleXfs>
  <cellXfs count="4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1" xfId="0" applyFont="1" applyFill="1" applyBorder="1"/>
    <xf numFmtId="0" fontId="2" fillId="0" borderId="4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7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1" fontId="2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6" fillId="5" borderId="14" xfId="1" applyFont="1" applyFill="1" applyBorder="1" applyAlignment="1">
      <alignment horizontal="center"/>
    </xf>
    <xf numFmtId="1" fontId="7" fillId="5" borderId="3" xfId="1" applyNumberFormat="1" applyFont="1" applyFill="1" applyBorder="1" applyAlignment="1">
      <alignment horizontal="center"/>
    </xf>
    <xf numFmtId="1" fontId="7" fillId="5" borderId="15" xfId="1" applyNumberFormat="1" applyFont="1" applyFill="1" applyBorder="1" applyAlignment="1">
      <alignment horizontal="center"/>
    </xf>
    <xf numFmtId="1" fontId="7" fillId="5" borderId="7" xfId="1" applyNumberFormat="1" applyFont="1" applyFill="1" applyBorder="1" applyAlignment="1">
      <alignment horizontal="center"/>
    </xf>
    <xf numFmtId="1" fontId="7" fillId="5" borderId="16" xfId="1" applyNumberFormat="1" applyFont="1" applyFill="1" applyBorder="1" applyAlignment="1">
      <alignment horizontal="center"/>
    </xf>
    <xf numFmtId="1" fontId="7" fillId="5" borderId="1" xfId="1" applyNumberFormat="1" applyFont="1" applyFill="1" applyBorder="1" applyAlignment="1">
      <alignment horizontal="center"/>
    </xf>
    <xf numFmtId="1" fontId="7" fillId="5" borderId="11" xfId="1" applyNumberFormat="1" applyFont="1" applyFill="1" applyBorder="1" applyAlignment="1">
      <alignment horizontal="center"/>
    </xf>
    <xf numFmtId="1" fontId="7" fillId="5" borderId="2" xfId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7" fillId="5" borderId="17" xfId="1" applyNumberFormat="1" applyFont="1" applyFill="1" applyBorder="1" applyAlignment="1">
      <alignment horizontal="center"/>
    </xf>
    <xf numFmtId="0" fontId="6" fillId="5" borderId="18" xfId="1" applyFont="1" applyFill="1" applyBorder="1"/>
    <xf numFmtId="0" fontId="6" fillId="5" borderId="19" xfId="1" applyFont="1" applyFill="1" applyBorder="1"/>
    <xf numFmtId="0" fontId="9" fillId="5" borderId="20" xfId="1" applyFont="1" applyFill="1" applyBorder="1" applyAlignment="1">
      <alignment horizontal="center"/>
    </xf>
    <xf numFmtId="0" fontId="9" fillId="5" borderId="21" xfId="1" applyFont="1" applyFill="1" applyBorder="1" applyAlignment="1">
      <alignment horizontal="center"/>
    </xf>
    <xf numFmtId="0" fontId="9" fillId="5" borderId="22" xfId="1" applyFont="1" applyFill="1" applyBorder="1" applyAlignment="1">
      <alignment horizontal="center"/>
    </xf>
    <xf numFmtId="0" fontId="9" fillId="5" borderId="2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9" fillId="5" borderId="24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5" borderId="11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5" borderId="25" xfId="1" applyFont="1" applyFill="1" applyBorder="1" applyAlignment="1">
      <alignment horizontal="center"/>
    </xf>
    <xf numFmtId="169" fontId="7" fillId="6" borderId="4" xfId="1" applyNumberFormat="1" applyFont="1" applyFill="1" applyBorder="1" applyAlignment="1"/>
    <xf numFmtId="183" fontId="7" fillId="6" borderId="4" xfId="1" applyNumberFormat="1" applyFont="1" applyFill="1" applyBorder="1"/>
    <xf numFmtId="0" fontId="6" fillId="7" borderId="1" xfId="1" applyFont="1" applyFill="1" applyBorder="1"/>
    <xf numFmtId="169" fontId="9" fillId="7" borderId="1" xfId="1" applyNumberFormat="1" applyFont="1" applyFill="1" applyBorder="1" applyAlignment="1">
      <alignment horizontal="center"/>
    </xf>
    <xf numFmtId="183" fontId="5" fillId="7" borderId="1" xfId="1" applyNumberFormat="1" applyFont="1" applyFill="1" applyBorder="1"/>
    <xf numFmtId="0" fontId="6" fillId="8" borderId="1" xfId="1" applyFont="1" applyFill="1" applyBorder="1" applyAlignment="1">
      <alignment horizontal="right"/>
    </xf>
    <xf numFmtId="0" fontId="6" fillId="8" borderId="1" xfId="1" applyFont="1" applyFill="1" applyBorder="1"/>
    <xf numFmtId="0" fontId="9" fillId="8" borderId="1" xfId="1" applyFont="1" applyFill="1" applyBorder="1"/>
    <xf numFmtId="0" fontId="7" fillId="8" borderId="1" xfId="1" applyFont="1" applyFill="1" applyBorder="1"/>
    <xf numFmtId="183" fontId="8" fillId="8" borderId="1" xfId="1" applyNumberFormat="1" applyFont="1" applyFill="1" applyBorder="1"/>
    <xf numFmtId="184" fontId="8" fillId="8" borderId="1" xfId="1" applyNumberFormat="1" applyFont="1" applyFill="1" applyBorder="1"/>
    <xf numFmtId="169" fontId="8" fillId="8" borderId="1" xfId="1" applyNumberFormat="1" applyFont="1" applyFill="1" applyBorder="1"/>
    <xf numFmtId="0" fontId="11" fillId="3" borderId="1" xfId="1" applyFont="1" applyFill="1" applyBorder="1"/>
    <xf numFmtId="183" fontId="10" fillId="3" borderId="1" xfId="1" applyNumberFormat="1" applyFont="1" applyFill="1" applyBorder="1"/>
    <xf numFmtId="184" fontId="10" fillId="3" borderId="1" xfId="1" applyNumberFormat="1" applyFont="1" applyFill="1" applyBorder="1"/>
    <xf numFmtId="169" fontId="10" fillId="3" borderId="1" xfId="1" applyNumberFormat="1" applyFont="1" applyFill="1" applyBorder="1"/>
    <xf numFmtId="0" fontId="12" fillId="8" borderId="1" xfId="1" applyFont="1" applyFill="1" applyBorder="1"/>
    <xf numFmtId="0" fontId="9" fillId="8" borderId="2" xfId="1" applyFont="1" applyFill="1" applyBorder="1"/>
    <xf numFmtId="184" fontId="11" fillId="9" borderId="26" xfId="1" applyNumberFormat="1" applyFont="1" applyFill="1" applyBorder="1"/>
    <xf numFmtId="183" fontId="11" fillId="9" borderId="26" xfId="1" applyNumberFormat="1" applyFont="1" applyFill="1" applyBorder="1"/>
    <xf numFmtId="185" fontId="7" fillId="10" borderId="4" xfId="1" applyNumberFormat="1" applyFont="1" applyFill="1" applyBorder="1"/>
    <xf numFmtId="0" fontId="1" fillId="0" borderId="1" xfId="0" applyFont="1" applyBorder="1"/>
    <xf numFmtId="1" fontId="1" fillId="8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1" fontId="1" fillId="0" borderId="1" xfId="0" applyNumberFormat="1" applyFont="1" applyBorder="1" applyAlignment="1">
      <alignment horizontal="center"/>
    </xf>
    <xf numFmtId="169" fontId="5" fillId="8" borderId="1" xfId="0" applyNumberFormat="1" applyFont="1" applyFill="1" applyBorder="1" applyAlignment="1">
      <alignment horizontal="center"/>
    </xf>
    <xf numFmtId="185" fontId="8" fillId="6" borderId="4" xfId="1" applyNumberFormat="1" applyFont="1" applyFill="1" applyBorder="1"/>
    <xf numFmtId="1" fontId="2" fillId="0" borderId="1" xfId="0" applyNumberFormat="1" applyFont="1" applyBorder="1" applyAlignment="1">
      <alignment horizontal="center"/>
    </xf>
    <xf numFmtId="184" fontId="0" fillId="0" borderId="0" xfId="0" applyNumberFormat="1"/>
    <xf numFmtId="184" fontId="9" fillId="7" borderId="1" xfId="1" applyNumberFormat="1" applyFont="1" applyFill="1" applyBorder="1"/>
    <xf numFmtId="0" fontId="16" fillId="8" borderId="1" xfId="1" applyFont="1" applyFill="1" applyBorder="1"/>
    <xf numFmtId="183" fontId="9" fillId="7" borderId="1" xfId="1" applyNumberFormat="1" applyFont="1" applyFill="1" applyBorder="1"/>
    <xf numFmtId="0" fontId="17" fillId="9" borderId="1" xfId="1" applyFont="1" applyFill="1" applyBorder="1"/>
    <xf numFmtId="184" fontId="7" fillId="6" borderId="4" xfId="1" applyNumberFormat="1" applyFont="1" applyFill="1" applyBorder="1" applyAlignment="1"/>
    <xf numFmtId="186" fontId="7" fillId="6" borderId="4" xfId="1" applyNumberFormat="1" applyFont="1" applyFill="1" applyBorder="1" applyAlignment="1"/>
    <xf numFmtId="186" fontId="10" fillId="5" borderId="1" xfId="1" applyNumberFormat="1" applyFont="1" applyFill="1" applyBorder="1" applyAlignment="1">
      <alignment horizontal="center"/>
    </xf>
    <xf numFmtId="183" fontId="5" fillId="7" borderId="2" xfId="1" applyNumberFormat="1" applyFont="1" applyFill="1" applyBorder="1"/>
    <xf numFmtId="1" fontId="7" fillId="5" borderId="8" xfId="1" applyNumberFormat="1" applyFont="1" applyFill="1" applyBorder="1" applyAlignment="1">
      <alignment horizontal="center"/>
    </xf>
    <xf numFmtId="1" fontId="7" fillId="5" borderId="4" xfId="1" applyNumberFormat="1" applyFont="1" applyFill="1" applyBorder="1" applyAlignment="1">
      <alignment horizontal="center"/>
    </xf>
    <xf numFmtId="183" fontId="7" fillId="6" borderId="4" xfId="1" applyNumberFormat="1" applyFont="1" applyFill="1" applyBorder="1" applyAlignment="1">
      <alignment horizontal="center"/>
    </xf>
    <xf numFmtId="185" fontId="8" fillId="10" borderId="4" xfId="1" applyNumberFormat="1" applyFont="1" applyFill="1" applyBorder="1"/>
    <xf numFmtId="1" fontId="0" fillId="0" borderId="3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85" fontId="18" fillId="7" borderId="4" xfId="1" applyNumberFormat="1" applyFont="1" applyFill="1" applyBorder="1"/>
    <xf numFmtId="184" fontId="18" fillId="7" borderId="1" xfId="1" applyNumberFormat="1" applyFont="1" applyFill="1" applyBorder="1"/>
    <xf numFmtId="183" fontId="18" fillId="7" borderId="1" xfId="1" applyNumberFormat="1" applyFont="1" applyFill="1" applyBorder="1"/>
    <xf numFmtId="185" fontId="15" fillId="10" borderId="4" xfId="1" applyNumberFormat="1" applyFont="1" applyFill="1" applyBorder="1"/>
    <xf numFmtId="184" fontId="20" fillId="2" borderId="1" xfId="1" applyNumberFormat="1" applyFont="1" applyFill="1" applyBorder="1" applyAlignment="1">
      <alignment horizontal="right"/>
    </xf>
    <xf numFmtId="0" fontId="9" fillId="10" borderId="21" xfId="1" applyFont="1" applyFill="1" applyBorder="1" applyAlignment="1">
      <alignment horizontal="center"/>
    </xf>
    <xf numFmtId="1" fontId="9" fillId="10" borderId="15" xfId="1" applyNumberFormat="1" applyFont="1" applyFill="1" applyBorder="1" applyAlignment="1">
      <alignment horizontal="center"/>
    </xf>
    <xf numFmtId="0" fontId="9" fillId="10" borderId="4" xfId="1" applyFont="1" applyFill="1" applyBorder="1" applyAlignment="1">
      <alignment horizontal="center"/>
    </xf>
    <xf numFmtId="169" fontId="0" fillId="0" borderId="0" xfId="0" applyNumberFormat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7" xfId="0" applyBorder="1" applyAlignment="1"/>
    <xf numFmtId="0" fontId="0" fillId="0" borderId="6" xfId="0" applyBorder="1" applyAlignment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83" fontId="20" fillId="6" borderId="4" xfId="1" applyNumberFormat="1" applyFont="1" applyFill="1" applyBorder="1"/>
    <xf numFmtId="183" fontId="0" fillId="0" borderId="0" xfId="0" applyNumberFormat="1"/>
    <xf numFmtId="184" fontId="9" fillId="8" borderId="1" xfId="0" applyNumberFormat="1" applyFont="1" applyFill="1" applyBorder="1" applyAlignment="1">
      <alignment horizontal="center"/>
    </xf>
    <xf numFmtId="184" fontId="5" fillId="0" borderId="1" xfId="0" applyNumberFormat="1" applyFont="1" applyBorder="1" applyAlignment="1">
      <alignment horizontal="center"/>
    </xf>
    <xf numFmtId="184" fontId="5" fillId="8" borderId="1" xfId="0" applyNumberFormat="1" applyFont="1" applyFill="1" applyBorder="1" applyAlignment="1">
      <alignment horizontal="center"/>
    </xf>
    <xf numFmtId="184" fontId="5" fillId="0" borderId="1" xfId="0" applyNumberFormat="1" applyFont="1" applyFill="1" applyBorder="1" applyAlignment="1">
      <alignment horizontal="center"/>
    </xf>
    <xf numFmtId="184" fontId="0" fillId="0" borderId="1" xfId="0" applyNumberFormat="1" applyBorder="1"/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2" fillId="8" borderId="1" xfId="0" applyFont="1" applyFill="1" applyBorder="1"/>
    <xf numFmtId="1" fontId="22" fillId="8" borderId="1" xfId="0" applyNumberFormat="1" applyFont="1" applyFill="1" applyBorder="1" applyAlignment="1">
      <alignment horizontal="center"/>
    </xf>
    <xf numFmtId="185" fontId="15" fillId="6" borderId="4" xfId="1" applyNumberFormat="1" applyFont="1" applyFill="1" applyBorder="1" applyAlignment="1"/>
    <xf numFmtId="185" fontId="15" fillId="6" borderId="4" xfId="1" applyNumberFormat="1" applyFont="1" applyFill="1" applyBorder="1"/>
    <xf numFmtId="0" fontId="23" fillId="7" borderId="1" xfId="1" applyFont="1" applyFill="1" applyBorder="1" applyAlignment="1">
      <alignment horizontal="right"/>
    </xf>
    <xf numFmtId="0" fontId="6" fillId="8" borderId="1" xfId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4" fontId="10" fillId="2" borderId="1" xfId="1" applyNumberFormat="1" applyFont="1" applyFill="1" applyBorder="1" applyAlignment="1">
      <alignment horizontal="center"/>
    </xf>
    <xf numFmtId="184" fontId="21" fillId="2" borderId="1" xfId="1" applyNumberFormat="1" applyFont="1" applyFill="1" applyBorder="1" applyAlignment="1">
      <alignment horizontal="center"/>
    </xf>
    <xf numFmtId="185" fontId="15" fillId="6" borderId="4" xfId="1" applyNumberFormat="1" applyFont="1" applyFill="1" applyBorder="1" applyAlignment="1">
      <alignment horizontal="center"/>
    </xf>
    <xf numFmtId="171" fontId="19" fillId="2" borderId="1" xfId="1" applyNumberFormat="1" applyFont="1" applyFill="1" applyBorder="1" applyAlignment="1">
      <alignment horizontal="center"/>
    </xf>
    <xf numFmtId="169" fontId="10" fillId="6" borderId="1" xfId="1" applyNumberFormat="1" applyFont="1" applyFill="1" applyBorder="1" applyAlignment="1">
      <alignment horizontal="center"/>
    </xf>
    <xf numFmtId="186" fontId="10" fillId="6" borderId="1" xfId="1" applyNumberFormat="1" applyFont="1" applyFill="1" applyBorder="1" applyAlignment="1">
      <alignment horizontal="center"/>
    </xf>
    <xf numFmtId="179" fontId="5" fillId="2" borderId="8" xfId="0" applyNumberFormat="1" applyFont="1" applyFill="1" applyBorder="1" applyAlignment="1">
      <alignment horizontal="center"/>
    </xf>
    <xf numFmtId="171" fontId="19" fillId="2" borderId="1" xfId="1" applyNumberFormat="1" applyFont="1" applyFill="1" applyBorder="1" applyAlignment="1">
      <alignment horizontal="right"/>
    </xf>
    <xf numFmtId="179" fontId="19" fillId="2" borderId="1" xfId="1" applyNumberFormat="1" applyFont="1" applyFill="1" applyBorder="1" applyAlignment="1">
      <alignment horizontal="right"/>
    </xf>
    <xf numFmtId="184" fontId="19" fillId="2" borderId="1" xfId="1" applyNumberFormat="1" applyFont="1" applyFill="1" applyBorder="1" applyAlignment="1">
      <alignment horizontal="right"/>
    </xf>
    <xf numFmtId="184" fontId="10" fillId="2" borderId="1" xfId="1" applyNumberFormat="1" applyFont="1" applyFill="1" applyBorder="1" applyAlignment="1">
      <alignment horizontal="right"/>
    </xf>
    <xf numFmtId="171" fontId="19" fillId="2" borderId="1" xfId="1" applyNumberFormat="1" applyFont="1" applyFill="1" applyBorder="1" applyAlignment="1"/>
    <xf numFmtId="1" fontId="0" fillId="0" borderId="15" xfId="0" applyNumberFormat="1" applyFill="1" applyBorder="1" applyAlignment="1">
      <alignment horizontal="center"/>
    </xf>
    <xf numFmtId="184" fontId="0" fillId="8" borderId="0" xfId="0" applyNumberFormat="1" applyFill="1"/>
    <xf numFmtId="184" fontId="6" fillId="7" borderId="1" xfId="1" applyNumberFormat="1" applyFont="1" applyFill="1" applyBorder="1"/>
    <xf numFmtId="183" fontId="6" fillId="7" borderId="4" xfId="1" applyNumberFormat="1" applyFont="1" applyFill="1" applyBorder="1"/>
    <xf numFmtId="169" fontId="2" fillId="0" borderId="0" xfId="0" applyNumberFormat="1" applyFont="1"/>
    <xf numFmtId="0" fontId="13" fillId="3" borderId="27" xfId="0" applyFont="1" applyFill="1" applyBorder="1" applyAlignment="1">
      <alignment horizontal="center"/>
    </xf>
    <xf numFmtId="1" fontId="7" fillId="10" borderId="3" xfId="1" applyNumberFormat="1" applyFont="1" applyFill="1" applyBorder="1" applyAlignment="1">
      <alignment horizontal="center"/>
    </xf>
    <xf numFmtId="185" fontId="15" fillId="7" borderId="4" xfId="1" applyNumberFormat="1" applyFont="1" applyFill="1" applyBorder="1" applyAlignment="1"/>
    <xf numFmtId="1" fontId="9" fillId="5" borderId="3" xfId="1" applyNumberFormat="1" applyFont="1" applyFill="1" applyBorder="1" applyAlignment="1">
      <alignment horizontal="center"/>
    </xf>
    <xf numFmtId="184" fontId="11" fillId="2" borderId="1" xfId="1" applyNumberFormat="1" applyFont="1" applyFill="1" applyBorder="1" applyAlignment="1">
      <alignment horizontal="center"/>
    </xf>
    <xf numFmtId="183" fontId="11" fillId="2" borderId="1" xfId="1" applyNumberFormat="1" applyFont="1" applyFill="1" applyBorder="1" applyAlignment="1">
      <alignment horizontal="center"/>
    </xf>
    <xf numFmtId="185" fontId="7" fillId="6" borderId="4" xfId="1" applyNumberFormat="1" applyFont="1" applyFill="1" applyBorder="1" applyAlignment="1"/>
    <xf numFmtId="185" fontId="6" fillId="7" borderId="4" xfId="1" applyNumberFormat="1" applyFont="1" applyFill="1" applyBorder="1" applyAlignment="1"/>
    <xf numFmtId="183" fontId="6" fillId="7" borderId="1" xfId="1" applyNumberFormat="1" applyFont="1" applyFill="1" applyBorder="1"/>
    <xf numFmtId="185" fontId="7" fillId="7" borderId="4" xfId="1" applyNumberFormat="1" applyFont="1" applyFill="1" applyBorder="1" applyAlignment="1"/>
    <xf numFmtId="169" fontId="11" fillId="6" borderId="1" xfId="1" applyNumberFormat="1" applyFont="1" applyFill="1" applyBorder="1" applyAlignment="1">
      <alignment horizontal="center"/>
    </xf>
    <xf numFmtId="186" fontId="11" fillId="6" borderId="1" xfId="1" applyNumberFormat="1" applyFont="1" applyFill="1" applyBorder="1" applyAlignment="1">
      <alignment horizontal="center"/>
    </xf>
    <xf numFmtId="185" fontId="7" fillId="10" borderId="4" xfId="1" applyNumberFormat="1" applyFont="1" applyFill="1" applyBorder="1" applyAlignment="1"/>
    <xf numFmtId="185" fontId="18" fillId="6" borderId="4" xfId="1" applyNumberFormat="1" applyFont="1" applyFill="1" applyBorder="1"/>
    <xf numFmtId="1" fontId="7" fillId="5" borderId="28" xfId="1" applyNumberFormat="1" applyFont="1" applyFill="1" applyBorder="1" applyAlignment="1">
      <alignment horizontal="center"/>
    </xf>
    <xf numFmtId="171" fontId="10" fillId="2" borderId="1" xfId="1" applyNumberFormat="1" applyFont="1" applyFill="1" applyBorder="1" applyAlignment="1">
      <alignment horizontal="center"/>
    </xf>
    <xf numFmtId="185" fontId="8" fillId="6" borderId="4" xfId="1" applyNumberFormat="1" applyFont="1" applyFill="1" applyBorder="1" applyAlignment="1">
      <alignment horizontal="center"/>
    </xf>
    <xf numFmtId="178" fontId="8" fillId="6" borderId="4" xfId="1" applyNumberFormat="1" applyFont="1" applyFill="1" applyBorder="1" applyAlignment="1">
      <alignment horizontal="center"/>
    </xf>
    <xf numFmtId="186" fontId="8" fillId="6" borderId="4" xfId="1" applyNumberFormat="1" applyFont="1" applyFill="1" applyBorder="1" applyAlignment="1"/>
    <xf numFmtId="185" fontId="8" fillId="7" borderId="4" xfId="1" applyNumberFormat="1" applyFont="1" applyFill="1" applyBorder="1"/>
    <xf numFmtId="185" fontId="8" fillId="5" borderId="4" xfId="1" applyNumberFormat="1" applyFont="1" applyFill="1" applyBorder="1"/>
    <xf numFmtId="183" fontId="10" fillId="9" borderId="26" xfId="1" applyNumberFormat="1" applyFont="1" applyFill="1" applyBorder="1"/>
    <xf numFmtId="185" fontId="8" fillId="7" borderId="4" xfId="1" applyNumberFormat="1" applyFont="1" applyFill="1" applyBorder="1" applyAlignment="1">
      <alignment horizontal="center"/>
    </xf>
    <xf numFmtId="185" fontId="8" fillId="10" borderId="4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84" fontId="26" fillId="2" borderId="1" xfId="1" applyNumberFormat="1" applyFont="1" applyFill="1" applyBorder="1" applyAlignment="1">
      <alignment horizontal="center"/>
    </xf>
    <xf numFmtId="185" fontId="28" fillId="6" borderId="4" xfId="1" applyNumberFormat="1" applyFont="1" applyFill="1" applyBorder="1" applyAlignment="1"/>
    <xf numFmtId="185" fontId="28" fillId="6" borderId="4" xfId="1" applyNumberFormat="1" applyFont="1" applyFill="1" applyBorder="1" applyAlignment="1">
      <alignment horizontal="center"/>
    </xf>
    <xf numFmtId="184" fontId="29" fillId="7" borderId="1" xfId="1" applyNumberFormat="1" applyFont="1" applyFill="1" applyBorder="1"/>
    <xf numFmtId="185" fontId="16" fillId="7" borderId="4" xfId="1" applyNumberFormat="1" applyFont="1" applyFill="1" applyBorder="1" applyAlignment="1"/>
    <xf numFmtId="185" fontId="16" fillId="7" borderId="4" xfId="1" applyNumberFormat="1" applyFont="1" applyFill="1" applyBorder="1"/>
    <xf numFmtId="169" fontId="17" fillId="6" borderId="4" xfId="1" applyNumberFormat="1" applyFont="1" applyFill="1" applyBorder="1" applyAlignment="1"/>
    <xf numFmtId="185" fontId="28" fillId="6" borderId="4" xfId="1" applyNumberFormat="1" applyFont="1" applyFill="1" applyBorder="1"/>
    <xf numFmtId="169" fontId="26" fillId="6" borderId="1" xfId="1" applyNumberFormat="1" applyFont="1" applyFill="1" applyBorder="1" applyAlignment="1">
      <alignment horizontal="center"/>
    </xf>
    <xf numFmtId="184" fontId="27" fillId="9" borderId="26" xfId="1" applyNumberFormat="1" applyFont="1" applyFill="1" applyBorder="1"/>
    <xf numFmtId="185" fontId="28" fillId="10" borderId="4" xfId="1" applyNumberFormat="1" applyFont="1" applyFill="1" applyBorder="1"/>
    <xf numFmtId="0" fontId="30" fillId="0" borderId="0" xfId="0" applyFont="1"/>
    <xf numFmtId="184" fontId="30" fillId="0" borderId="0" xfId="0" applyNumberFormat="1" applyFont="1"/>
    <xf numFmtId="179" fontId="0" fillId="0" borderId="1" xfId="0" applyNumberFormat="1" applyBorder="1" applyAlignment="1">
      <alignment horizontal="center"/>
    </xf>
    <xf numFmtId="179" fontId="1" fillId="8" borderId="1" xfId="0" applyNumberFormat="1" applyFont="1" applyFill="1" applyBorder="1" applyAlignment="1">
      <alignment horizontal="center"/>
    </xf>
    <xf numFmtId="184" fontId="11" fillId="9" borderId="26" xfId="1" applyNumberFormat="1" applyFont="1" applyFill="1" applyBorder="1" applyAlignment="1">
      <alignment horizontal="right"/>
    </xf>
    <xf numFmtId="179" fontId="2" fillId="0" borderId="0" xfId="0" applyNumberFormat="1" applyFont="1" applyAlignment="1">
      <alignment horizontal="center"/>
    </xf>
    <xf numFmtId="185" fontId="28" fillId="10" borderId="4" xfId="1" applyNumberFormat="1" applyFont="1" applyFill="1" applyBorder="1" applyAlignment="1"/>
    <xf numFmtId="1" fontId="31" fillId="3" borderId="1" xfId="0" applyNumberFormat="1" applyFont="1" applyFill="1" applyBorder="1" applyAlignment="1">
      <alignment horizontal="center"/>
    </xf>
    <xf numFmtId="0" fontId="16" fillId="8" borderId="1" xfId="1" applyFont="1" applyFill="1" applyBorder="1" applyAlignment="1"/>
    <xf numFmtId="185" fontId="6" fillId="6" borderId="4" xfId="1" applyNumberFormat="1" applyFont="1" applyFill="1" applyBorder="1" applyAlignment="1"/>
    <xf numFmtId="183" fontId="30" fillId="0" borderId="0" xfId="0" applyNumberFormat="1" applyFont="1"/>
    <xf numFmtId="169" fontId="9" fillId="7" borderId="1" xfId="1" applyNumberFormat="1" applyFont="1" applyFill="1" applyBorder="1" applyAlignment="1">
      <alignment horizontal="right"/>
    </xf>
    <xf numFmtId="169" fontId="7" fillId="6" borderId="4" xfId="1" applyNumberFormat="1" applyFont="1" applyFill="1" applyBorder="1" applyAlignment="1">
      <alignment horizontal="right"/>
    </xf>
    <xf numFmtId="169" fontId="10" fillId="6" borderId="1" xfId="1" applyNumberFormat="1" applyFont="1" applyFill="1" applyBorder="1" applyAlignment="1">
      <alignment horizontal="right"/>
    </xf>
    <xf numFmtId="169" fontId="10" fillId="2" borderId="1" xfId="1" applyNumberFormat="1" applyFont="1" applyFill="1" applyBorder="1" applyAlignment="1">
      <alignment horizontal="right"/>
    </xf>
    <xf numFmtId="169" fontId="20" fillId="2" borderId="1" xfId="1" applyNumberFormat="1" applyFont="1" applyFill="1" applyBorder="1" applyAlignment="1">
      <alignment horizontal="right"/>
    </xf>
    <xf numFmtId="169" fontId="11" fillId="9" borderId="26" xfId="1" applyNumberFormat="1" applyFont="1" applyFill="1" applyBorder="1"/>
    <xf numFmtId="184" fontId="11" fillId="9" borderId="4" xfId="1" applyNumberFormat="1" applyFont="1" applyFill="1" applyBorder="1"/>
    <xf numFmtId="0" fontId="4" fillId="0" borderId="1" xfId="0" applyFont="1" applyBorder="1" applyAlignment="1">
      <alignment horizontal="center"/>
    </xf>
    <xf numFmtId="179" fontId="4" fillId="2" borderId="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7" fillId="5" borderId="29" xfId="1" applyNumberFormat="1" applyFont="1" applyFill="1" applyBorder="1" applyAlignment="1">
      <alignment horizontal="center"/>
    </xf>
    <xf numFmtId="1" fontId="7" fillId="5" borderId="30" xfId="1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183" fontId="5" fillId="8" borderId="1" xfId="0" applyNumberFormat="1" applyFont="1" applyFill="1" applyBorder="1" applyAlignment="1">
      <alignment horizontal="center"/>
    </xf>
    <xf numFmtId="184" fontId="5" fillId="11" borderId="1" xfId="0" applyNumberFormat="1" applyFont="1" applyFill="1" applyBorder="1" applyAlignment="1">
      <alignment horizontal="center"/>
    </xf>
    <xf numFmtId="183" fontId="5" fillId="11" borderId="1" xfId="0" applyNumberFormat="1" applyFont="1" applyFill="1" applyBorder="1" applyAlignment="1">
      <alignment horizontal="center"/>
    </xf>
    <xf numFmtId="184" fontId="5" fillId="12" borderId="1" xfId="0" applyNumberFormat="1" applyFont="1" applyFill="1" applyBorder="1" applyAlignment="1">
      <alignment horizontal="center"/>
    </xf>
    <xf numFmtId="183" fontId="5" fillId="12" borderId="1" xfId="0" applyNumberFormat="1" applyFont="1" applyFill="1" applyBorder="1" applyAlignment="1">
      <alignment horizontal="center"/>
    </xf>
    <xf numFmtId="183" fontId="5" fillId="2" borderId="1" xfId="0" applyNumberFormat="1" applyFont="1" applyFill="1" applyBorder="1" applyAlignment="1">
      <alignment horizontal="center"/>
    </xf>
    <xf numFmtId="184" fontId="5" fillId="3" borderId="1" xfId="0" applyNumberFormat="1" applyFont="1" applyFill="1" applyBorder="1" applyAlignment="1">
      <alignment horizontal="center"/>
    </xf>
    <xf numFmtId="183" fontId="5" fillId="3" borderId="1" xfId="0" applyNumberFormat="1" applyFont="1" applyFill="1" applyBorder="1" applyAlignment="1">
      <alignment horizontal="center"/>
    </xf>
    <xf numFmtId="184" fontId="11" fillId="3" borderId="4" xfId="1" applyNumberFormat="1" applyFont="1" applyFill="1" applyBorder="1"/>
    <xf numFmtId="183" fontId="4" fillId="9" borderId="1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83" fontId="4" fillId="2" borderId="1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83" fontId="33" fillId="12" borderId="1" xfId="0" applyNumberFormat="1" applyFont="1" applyFill="1" applyBorder="1" applyAlignment="1">
      <alignment horizontal="center"/>
    </xf>
    <xf numFmtId="183" fontId="5" fillId="2" borderId="4" xfId="0" applyNumberFormat="1" applyFont="1" applyFill="1" applyBorder="1" applyAlignment="1">
      <alignment horizontal="center"/>
    </xf>
    <xf numFmtId="0" fontId="6" fillId="13" borderId="1" xfId="1" applyFont="1" applyFill="1" applyBorder="1"/>
    <xf numFmtId="184" fontId="5" fillId="11" borderId="1" xfId="0" applyNumberFormat="1" applyFont="1" applyFill="1" applyBorder="1" applyAlignment="1"/>
    <xf numFmtId="184" fontId="26" fillId="6" borderId="1" xfId="1" applyNumberFormat="1" applyFont="1" applyFill="1" applyBorder="1" applyAlignment="1">
      <alignment horizontal="center"/>
    </xf>
    <xf numFmtId="184" fontId="5" fillId="13" borderId="1" xfId="0" applyNumberFormat="1" applyFont="1" applyFill="1" applyBorder="1" applyAlignment="1">
      <alignment horizontal="center"/>
    </xf>
    <xf numFmtId="184" fontId="5" fillId="4" borderId="1" xfId="0" applyNumberFormat="1" applyFont="1" applyFill="1" applyBorder="1" applyAlignment="1">
      <alignment horizontal="center"/>
    </xf>
    <xf numFmtId="184" fontId="17" fillId="6" borderId="4" xfId="1" applyNumberFormat="1" applyFont="1" applyFill="1" applyBorder="1" applyAlignment="1"/>
    <xf numFmtId="185" fontId="28" fillId="7" borderId="4" xfId="1" applyNumberFormat="1" applyFont="1" applyFill="1" applyBorder="1" applyAlignment="1">
      <alignment horizontal="center"/>
    </xf>
    <xf numFmtId="185" fontId="16" fillId="7" borderId="4" xfId="1" applyNumberFormat="1" applyFont="1" applyFill="1" applyBorder="1" applyAlignment="1">
      <alignment horizontal="center"/>
    </xf>
    <xf numFmtId="184" fontId="5" fillId="8" borderId="4" xfId="0" applyNumberFormat="1" applyFont="1" applyFill="1" applyBorder="1" applyAlignment="1">
      <alignment horizontal="center"/>
    </xf>
    <xf numFmtId="184" fontId="5" fillId="11" borderId="4" xfId="0" applyNumberFormat="1" applyFont="1" applyFill="1" applyBorder="1" applyAlignment="1">
      <alignment horizontal="center"/>
    </xf>
    <xf numFmtId="185" fontId="28" fillId="7" borderId="4" xfId="1" applyNumberFormat="1" applyFont="1" applyFill="1" applyBorder="1" applyAlignment="1"/>
    <xf numFmtId="1" fontId="30" fillId="0" borderId="0" xfId="0" applyNumberFormat="1" applyFont="1" applyAlignment="1">
      <alignment horizontal="center"/>
    </xf>
    <xf numFmtId="0" fontId="0" fillId="8" borderId="0" xfId="0" applyFill="1"/>
    <xf numFmtId="0" fontId="4" fillId="8" borderId="1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84" fontId="4" fillId="2" borderId="1" xfId="0" applyNumberFormat="1" applyFont="1" applyFill="1" applyBorder="1" applyAlignment="1">
      <alignment horizontal="center"/>
    </xf>
    <xf numFmtId="184" fontId="4" fillId="2" borderId="8" xfId="0" applyNumberFormat="1" applyFont="1" applyFill="1" applyBorder="1" applyAlignment="1">
      <alignment horizontal="center"/>
    </xf>
    <xf numFmtId="184" fontId="29" fillId="7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5" fillId="0" borderId="31" xfId="1" applyFont="1" applyBorder="1"/>
    <xf numFmtId="0" fontId="28" fillId="0" borderId="31" xfId="1" applyFont="1" applyBorder="1"/>
    <xf numFmtId="1" fontId="35" fillId="5" borderId="31" xfId="1" applyNumberFormat="1" applyFont="1" applyFill="1" applyBorder="1" applyAlignment="1">
      <alignment horizontal="center"/>
    </xf>
    <xf numFmtId="184" fontId="36" fillId="7" borderId="1" xfId="1" applyNumberFormat="1" applyFont="1" applyFill="1" applyBorder="1"/>
    <xf numFmtId="183" fontId="29" fillId="7" borderId="1" xfId="1" applyNumberFormat="1" applyFont="1" applyFill="1" applyBorder="1"/>
    <xf numFmtId="189" fontId="0" fillId="0" borderId="0" xfId="0" applyNumberFormat="1"/>
    <xf numFmtId="200" fontId="4" fillId="0" borderId="10" xfId="0" applyNumberFormat="1" applyFont="1" applyBorder="1" applyAlignment="1">
      <alignment horizontal="center"/>
    </xf>
    <xf numFmtId="200" fontId="4" fillId="0" borderId="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0" fontId="4" fillId="0" borderId="0" xfId="0" applyFont="1"/>
    <xf numFmtId="0" fontId="4" fillId="8" borderId="25" xfId="0" applyFont="1" applyFill="1" applyBorder="1" applyAlignment="1">
      <alignment horizontal="center"/>
    </xf>
    <xf numFmtId="0" fontId="0" fillId="0" borderId="32" xfId="0" applyBorder="1"/>
    <xf numFmtId="0" fontId="2" fillId="0" borderId="33" xfId="0" applyFont="1" applyBorder="1"/>
    <xf numFmtId="0" fontId="4" fillId="8" borderId="34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0" fontId="6" fillId="8" borderId="11" xfId="1" applyFont="1" applyFill="1" applyBorder="1" applyAlignment="1">
      <alignment horizontal="right"/>
    </xf>
    <xf numFmtId="183" fontId="5" fillId="11" borderId="4" xfId="0" applyNumberFormat="1" applyFont="1" applyFill="1" applyBorder="1" applyAlignment="1">
      <alignment horizontal="center"/>
    </xf>
    <xf numFmtId="185" fontId="16" fillId="6" borderId="4" xfId="1" applyNumberFormat="1" applyFont="1" applyFill="1" applyBorder="1"/>
    <xf numFmtId="0" fontId="8" fillId="2" borderId="11" xfId="1" applyFont="1" applyFill="1" applyBorder="1" applyAlignment="1">
      <alignment horizontal="center"/>
    </xf>
    <xf numFmtId="0" fontId="6" fillId="8" borderId="10" xfId="1" applyFont="1" applyFill="1" applyBorder="1"/>
    <xf numFmtId="184" fontId="28" fillId="6" borderId="1" xfId="1" applyNumberFormat="1" applyFont="1" applyFill="1" applyBorder="1"/>
    <xf numFmtId="169" fontId="28" fillId="6" borderId="1" xfId="1" applyNumberFormat="1" applyFont="1" applyFill="1" applyBorder="1" applyAlignment="1">
      <alignment horizontal="center"/>
    </xf>
    <xf numFmtId="179" fontId="28" fillId="6" borderId="1" xfId="1" applyNumberFormat="1" applyFont="1" applyFill="1" applyBorder="1" applyAlignment="1">
      <alignment horizontal="center"/>
    </xf>
    <xf numFmtId="179" fontId="28" fillId="6" borderId="4" xfId="1" applyNumberFormat="1" applyFont="1" applyFill="1" applyBorder="1" applyAlignment="1"/>
    <xf numFmtId="183" fontId="28" fillId="6" borderId="1" xfId="1" applyNumberFormat="1" applyFont="1" applyFill="1" applyBorder="1"/>
    <xf numFmtId="0" fontId="2" fillId="2" borderId="0" xfId="0" applyFont="1" applyFill="1"/>
    <xf numFmtId="184" fontId="29" fillId="14" borderId="1" xfId="1" applyNumberFormat="1" applyFont="1" applyFill="1" applyBorder="1"/>
    <xf numFmtId="0" fontId="0" fillId="3" borderId="0" xfId="0" applyFill="1"/>
    <xf numFmtId="184" fontId="2" fillId="2" borderId="0" xfId="0" applyNumberFormat="1" applyFont="1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9" borderId="0" xfId="0" applyFill="1"/>
    <xf numFmtId="184" fontId="29" fillId="10" borderId="1" xfId="1" applyNumberFormat="1" applyFont="1" applyFill="1" applyBorder="1"/>
    <xf numFmtId="184" fontId="29" fillId="18" borderId="1" xfId="1" applyNumberFormat="1" applyFont="1" applyFill="1" applyBorder="1" applyAlignment="1">
      <alignment horizontal="center"/>
    </xf>
    <xf numFmtId="171" fontId="5" fillId="8" borderId="1" xfId="0" applyNumberFormat="1" applyFont="1" applyFill="1" applyBorder="1" applyAlignment="1">
      <alignment horizontal="center"/>
    </xf>
    <xf numFmtId="179" fontId="17" fillId="6" borderId="4" xfId="1" applyNumberFormat="1" applyFont="1" applyFill="1" applyBorder="1" applyAlignment="1"/>
    <xf numFmtId="179" fontId="28" fillId="6" borderId="1" xfId="1" applyNumberFormat="1" applyFont="1" applyFill="1" applyBorder="1"/>
    <xf numFmtId="179" fontId="5" fillId="8" borderId="1" xfId="0" applyNumberFormat="1" applyFont="1" applyFill="1" applyBorder="1" applyAlignment="1">
      <alignment horizontal="center"/>
    </xf>
    <xf numFmtId="179" fontId="27" fillId="9" borderId="26" xfId="1" applyNumberFormat="1" applyFont="1" applyFill="1" applyBorder="1"/>
    <xf numFmtId="184" fontId="5" fillId="8" borderId="1" xfId="0" applyNumberFormat="1" applyFont="1" applyFill="1" applyBorder="1" applyAlignment="1">
      <alignment horizontal="right"/>
    </xf>
    <xf numFmtId="184" fontId="17" fillId="6" borderId="4" xfId="1" applyNumberFormat="1" applyFont="1" applyFill="1" applyBorder="1" applyAlignment="1">
      <alignment horizontal="right"/>
    </xf>
    <xf numFmtId="184" fontId="28" fillId="6" borderId="4" xfId="1" applyNumberFormat="1" applyFont="1" applyFill="1" applyBorder="1" applyAlignment="1">
      <alignment horizontal="right"/>
    </xf>
    <xf numFmtId="184" fontId="28" fillId="6" borderId="1" xfId="1" applyNumberFormat="1" applyFont="1" applyFill="1" applyBorder="1" applyAlignment="1">
      <alignment horizontal="right"/>
    </xf>
    <xf numFmtId="184" fontId="26" fillId="2" borderId="1" xfId="1" applyNumberFormat="1" applyFont="1" applyFill="1" applyBorder="1" applyAlignment="1">
      <alignment horizontal="right"/>
    </xf>
    <xf numFmtId="184" fontId="4" fillId="2" borderId="8" xfId="0" applyNumberFormat="1" applyFont="1" applyFill="1" applyBorder="1" applyAlignment="1">
      <alignment horizontal="right"/>
    </xf>
    <xf numFmtId="169" fontId="17" fillId="6" borderId="4" xfId="1" applyNumberFormat="1" applyFont="1" applyFill="1" applyBorder="1" applyAlignment="1">
      <alignment horizontal="right"/>
    </xf>
    <xf numFmtId="184" fontId="4" fillId="2" borderId="1" xfId="0" applyNumberFormat="1" applyFont="1" applyFill="1" applyBorder="1" applyAlignment="1">
      <alignment horizontal="right"/>
    </xf>
    <xf numFmtId="184" fontId="32" fillId="2" borderId="1" xfId="0" applyNumberFormat="1" applyFont="1" applyFill="1" applyBorder="1" applyAlignment="1">
      <alignment horizontal="right"/>
    </xf>
    <xf numFmtId="184" fontId="5" fillId="11" borderId="1" xfId="0" applyNumberFormat="1" applyFont="1" applyFill="1" applyBorder="1" applyAlignment="1">
      <alignment horizontal="right"/>
    </xf>
    <xf numFmtId="184" fontId="5" fillId="9" borderId="1" xfId="0" applyNumberFormat="1" applyFont="1" applyFill="1" applyBorder="1" applyAlignment="1">
      <alignment horizontal="right"/>
    </xf>
    <xf numFmtId="184" fontId="5" fillId="12" borderId="1" xfId="0" applyNumberFormat="1" applyFont="1" applyFill="1" applyBorder="1" applyAlignment="1">
      <alignment horizontal="right"/>
    </xf>
    <xf numFmtId="183" fontId="5" fillId="12" borderId="1" xfId="0" applyNumberFormat="1" applyFont="1" applyFill="1" applyBorder="1" applyAlignment="1">
      <alignment horizontal="right"/>
    </xf>
    <xf numFmtId="184" fontId="5" fillId="3" borderId="1" xfId="0" applyNumberFormat="1" applyFont="1" applyFill="1" applyBorder="1" applyAlignment="1">
      <alignment horizontal="right"/>
    </xf>
    <xf numFmtId="184" fontId="5" fillId="15" borderId="1" xfId="0" applyNumberFormat="1" applyFont="1" applyFill="1" applyBorder="1" applyAlignment="1">
      <alignment horizontal="right"/>
    </xf>
    <xf numFmtId="184" fontId="5" fillId="16" borderId="1" xfId="0" applyNumberFormat="1" applyFont="1" applyFill="1" applyBorder="1" applyAlignment="1">
      <alignment horizontal="right"/>
    </xf>
    <xf numFmtId="184" fontId="5" fillId="11" borderId="4" xfId="0" applyNumberFormat="1" applyFont="1" applyFill="1" applyBorder="1" applyAlignment="1">
      <alignment horizontal="right"/>
    </xf>
    <xf numFmtId="184" fontId="5" fillId="9" borderId="4" xfId="0" applyNumberFormat="1" applyFont="1" applyFill="1" applyBorder="1" applyAlignment="1">
      <alignment horizontal="right"/>
    </xf>
    <xf numFmtId="184" fontId="5" fillId="8" borderId="4" xfId="0" applyNumberFormat="1" applyFont="1" applyFill="1" applyBorder="1" applyAlignment="1">
      <alignment horizontal="right"/>
    </xf>
    <xf numFmtId="184" fontId="5" fillId="12" borderId="4" xfId="0" applyNumberFormat="1" applyFont="1" applyFill="1" applyBorder="1" applyAlignment="1">
      <alignment horizontal="right"/>
    </xf>
    <xf numFmtId="183" fontId="5" fillId="12" borderId="4" xfId="0" applyNumberFormat="1" applyFont="1" applyFill="1" applyBorder="1" applyAlignment="1">
      <alignment horizontal="right"/>
    </xf>
    <xf numFmtId="184" fontId="5" fillId="3" borderId="4" xfId="0" applyNumberFormat="1" applyFont="1" applyFill="1" applyBorder="1" applyAlignment="1">
      <alignment horizontal="right"/>
    </xf>
    <xf numFmtId="184" fontId="5" fillId="15" borderId="4" xfId="0" applyNumberFormat="1" applyFont="1" applyFill="1" applyBorder="1" applyAlignment="1">
      <alignment horizontal="right"/>
    </xf>
    <xf numFmtId="184" fontId="5" fillId="16" borderId="4" xfId="0" applyNumberFormat="1" applyFont="1" applyFill="1" applyBorder="1" applyAlignment="1">
      <alignment horizontal="right"/>
    </xf>
    <xf numFmtId="183" fontId="5" fillId="3" borderId="1" xfId="0" applyNumberFormat="1" applyFont="1" applyFill="1" applyBorder="1" applyAlignment="1">
      <alignment horizontal="right"/>
    </xf>
    <xf numFmtId="184" fontId="5" fillId="17" borderId="1" xfId="0" applyNumberFormat="1" applyFont="1" applyFill="1" applyBorder="1" applyAlignment="1">
      <alignment horizontal="right"/>
    </xf>
    <xf numFmtId="184" fontId="29" fillId="18" borderId="1" xfId="1" applyNumberFormat="1" applyFont="1" applyFill="1" applyBorder="1" applyAlignment="1">
      <alignment horizontal="right"/>
    </xf>
    <xf numFmtId="184" fontId="29" fillId="10" borderId="1" xfId="1" applyNumberFormat="1" applyFont="1" applyFill="1" applyBorder="1" applyAlignment="1">
      <alignment horizontal="right"/>
    </xf>
    <xf numFmtId="184" fontId="29" fillId="14" borderId="1" xfId="1" applyNumberFormat="1" applyFont="1" applyFill="1" applyBorder="1" applyAlignment="1">
      <alignment horizontal="right"/>
    </xf>
    <xf numFmtId="184" fontId="5" fillId="17" borderId="4" xfId="0" applyNumberFormat="1" applyFont="1" applyFill="1" applyBorder="1" applyAlignment="1">
      <alignment horizontal="right"/>
    </xf>
    <xf numFmtId="169" fontId="26" fillId="2" borderId="1" xfId="1" applyNumberFormat="1" applyFont="1" applyFill="1" applyBorder="1" applyAlignment="1">
      <alignment horizontal="right"/>
    </xf>
    <xf numFmtId="184" fontId="26" fillId="2" borderId="4" xfId="1" applyNumberFormat="1" applyFont="1" applyFill="1" applyBorder="1" applyAlignment="1">
      <alignment horizontal="right"/>
    </xf>
    <xf numFmtId="183" fontId="5" fillId="8" borderId="1" xfId="0" applyNumberFormat="1" applyFont="1" applyFill="1" applyBorder="1" applyAlignment="1">
      <alignment horizontal="right"/>
    </xf>
    <xf numFmtId="169" fontId="26" fillId="6" borderId="1" xfId="1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>
      <alignment horizontal="right"/>
    </xf>
    <xf numFmtId="183" fontId="33" fillId="12" borderId="1" xfId="0" applyNumberFormat="1" applyFont="1" applyFill="1" applyBorder="1" applyAlignment="1">
      <alignment horizontal="right"/>
    </xf>
    <xf numFmtId="183" fontId="4" fillId="2" borderId="1" xfId="0" applyNumberFormat="1" applyFont="1" applyFill="1" applyBorder="1" applyAlignment="1">
      <alignment horizontal="right"/>
    </xf>
    <xf numFmtId="169" fontId="5" fillId="3" borderId="1" xfId="0" applyNumberFormat="1" applyFont="1" applyFill="1" applyBorder="1" applyAlignment="1">
      <alignment horizontal="right"/>
    </xf>
    <xf numFmtId="183" fontId="5" fillId="8" borderId="4" xfId="0" applyNumberFormat="1" applyFont="1" applyFill="1" applyBorder="1" applyAlignment="1">
      <alignment horizontal="right"/>
    </xf>
    <xf numFmtId="169" fontId="5" fillId="3" borderId="4" xfId="0" applyNumberFormat="1" applyFont="1" applyFill="1" applyBorder="1" applyAlignment="1">
      <alignment horizontal="right"/>
    </xf>
    <xf numFmtId="169" fontId="5" fillId="8" borderId="1" xfId="0" applyNumberFormat="1" applyFont="1" applyFill="1" applyBorder="1" applyAlignment="1">
      <alignment horizontal="right"/>
    </xf>
    <xf numFmtId="183" fontId="5" fillId="11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88" fontId="26" fillId="2" borderId="1" xfId="1" applyNumberFormat="1" applyFont="1" applyFill="1" applyBorder="1" applyAlignment="1">
      <alignment horizontal="right"/>
    </xf>
    <xf numFmtId="188" fontId="17" fillId="6" borderId="4" xfId="1" applyNumberFormat="1" applyFont="1" applyFill="1" applyBorder="1" applyAlignment="1">
      <alignment horizontal="right"/>
    </xf>
    <xf numFmtId="184" fontId="26" fillId="6" borderId="1" xfId="1" applyNumberFormat="1" applyFont="1" applyFill="1" applyBorder="1" applyAlignment="1">
      <alignment horizontal="right"/>
    </xf>
    <xf numFmtId="1" fontId="22" fillId="0" borderId="1" xfId="0" applyNumberFormat="1" applyFont="1" applyBorder="1" applyAlignment="1">
      <alignment horizontal="center"/>
    </xf>
    <xf numFmtId="0" fontId="37" fillId="0" borderId="0" xfId="0" applyFont="1"/>
    <xf numFmtId="1" fontId="38" fillId="2" borderId="1" xfId="0" applyNumberFormat="1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/>
    </xf>
    <xf numFmtId="1" fontId="0" fillId="0" borderId="0" xfId="0" applyNumberFormat="1"/>
    <xf numFmtId="183" fontId="27" fillId="9" borderId="26" xfId="1" applyNumberFormat="1" applyFont="1" applyFill="1" applyBorder="1"/>
    <xf numFmtId="183" fontId="5" fillId="9" borderId="1" xfId="0" applyNumberFormat="1" applyFont="1" applyFill="1" applyBorder="1" applyAlignment="1">
      <alignment horizontal="right"/>
    </xf>
    <xf numFmtId="0" fontId="9" fillId="8" borderId="11" xfId="1" applyFont="1" applyFill="1" applyBorder="1" applyAlignment="1">
      <alignment horizontal="center"/>
    </xf>
    <xf numFmtId="184" fontId="27" fillId="4" borderId="26" xfId="1" applyNumberFormat="1" applyFont="1" applyFill="1" applyBorder="1"/>
    <xf numFmtId="171" fontId="4" fillId="2" borderId="8" xfId="0" applyNumberFormat="1" applyFont="1" applyFill="1" applyBorder="1" applyAlignment="1">
      <alignment horizontal="center"/>
    </xf>
    <xf numFmtId="171" fontId="17" fillId="6" borderId="4" xfId="1" applyNumberFormat="1" applyFont="1" applyFill="1" applyBorder="1" applyAlignment="1"/>
    <xf numFmtId="171" fontId="28" fillId="6" borderId="4" xfId="1" applyNumberFormat="1" applyFont="1" applyFill="1" applyBorder="1" applyAlignment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8" fillId="2" borderId="38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6" fillId="5" borderId="41" xfId="1" applyFont="1" applyFill="1" applyBorder="1" applyAlignment="1">
      <alignment horizontal="center"/>
    </xf>
    <xf numFmtId="0" fontId="6" fillId="5" borderId="14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center"/>
    </xf>
    <xf numFmtId="0" fontId="8" fillId="6" borderId="1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5" fillId="5" borderId="31" xfId="1" applyNumberFormat="1" applyFont="1" applyFill="1" applyBorder="1" applyAlignment="1">
      <alignment horizontal="center"/>
    </xf>
    <xf numFmtId="1" fontId="35" fillId="5" borderId="27" xfId="1" applyNumberFormat="1" applyFont="1" applyFill="1" applyBorder="1" applyAlignment="1">
      <alignment horizontal="center"/>
    </xf>
    <xf numFmtId="1" fontId="35" fillId="5" borderId="42" xfId="1" applyNumberFormat="1" applyFont="1" applyFill="1" applyBorder="1" applyAlignment="1">
      <alignment horizontal="center"/>
    </xf>
    <xf numFmtId="1" fontId="35" fillId="5" borderId="43" xfId="1" applyNumberFormat="1" applyFont="1" applyFill="1" applyBorder="1" applyAlignment="1">
      <alignment horizontal="center"/>
    </xf>
    <xf numFmtId="1" fontId="35" fillId="5" borderId="44" xfId="1" applyNumberFormat="1" applyFont="1" applyFill="1" applyBorder="1" applyAlignment="1">
      <alignment horizontal="center"/>
    </xf>
    <xf numFmtId="0" fontId="25" fillId="2" borderId="36" xfId="1" applyFont="1" applyFill="1" applyBorder="1" applyAlignment="1">
      <alignment horizontal="center"/>
    </xf>
    <xf numFmtId="0" fontId="25" fillId="2" borderId="38" xfId="1" applyFont="1" applyFill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5" fillId="2" borderId="11" xfId="1" applyFont="1" applyFill="1" applyBorder="1" applyAlignment="1">
      <alignment horizontal="center"/>
    </xf>
    <xf numFmtId="0" fontId="25" fillId="2" borderId="10" xfId="1" applyFont="1" applyFill="1" applyBorder="1" applyAlignment="1">
      <alignment horizontal="center"/>
    </xf>
    <xf numFmtId="0" fontId="24" fillId="6" borderId="11" xfId="1" applyFont="1" applyFill="1" applyBorder="1" applyAlignment="1">
      <alignment horizontal="center"/>
    </xf>
    <xf numFmtId="0" fontId="24" fillId="6" borderId="10" xfId="1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8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54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BJ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B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совита"/>
      <sheetName val="ргс"/>
      <sheetName val="макс"/>
      <sheetName val="иногор"/>
      <sheetName val="Лист1"/>
      <sheetName val="Лист2"/>
      <sheetName val="Лист3"/>
    </sheetNames>
    <sheetDataSet>
      <sheetData sheetId="0"/>
      <sheetData sheetId="1">
        <row r="7">
          <cell r="D7">
            <v>4720297.74</v>
          </cell>
          <cell r="E7">
            <v>4629632.6399999997</v>
          </cell>
          <cell r="F7">
            <v>285</v>
          </cell>
          <cell r="L7">
            <v>0</v>
          </cell>
          <cell r="M7">
            <v>0</v>
          </cell>
          <cell r="N7">
            <v>0</v>
          </cell>
          <cell r="O7">
            <v>2137</v>
          </cell>
          <cell r="P7">
            <v>1458446.8499999999</v>
          </cell>
          <cell r="Q7">
            <v>1449862.3499999999</v>
          </cell>
          <cell r="R7">
            <v>206</v>
          </cell>
        </row>
        <row r="8">
          <cell r="D8">
            <v>795057.46</v>
          </cell>
          <cell r="E8">
            <v>664944.92999999993</v>
          </cell>
          <cell r="F8">
            <v>56</v>
          </cell>
          <cell r="L8">
            <v>0</v>
          </cell>
          <cell r="M8">
            <v>0</v>
          </cell>
          <cell r="N8">
            <v>0</v>
          </cell>
          <cell r="O8">
            <v>61</v>
          </cell>
          <cell r="P8">
            <v>57756.399999999994</v>
          </cell>
          <cell r="Q8">
            <v>47971.92</v>
          </cell>
          <cell r="R8">
            <v>8</v>
          </cell>
        </row>
        <row r="9">
          <cell r="D9">
            <v>0</v>
          </cell>
          <cell r="E9">
            <v>0</v>
          </cell>
          <cell r="F9">
            <v>0</v>
          </cell>
          <cell r="L9">
            <v>0</v>
          </cell>
          <cell r="M9">
            <v>0</v>
          </cell>
          <cell r="N9">
            <v>0</v>
          </cell>
          <cell r="O9">
            <v>12</v>
          </cell>
          <cell r="P9">
            <v>4992.72</v>
          </cell>
          <cell r="Q9">
            <v>4992.72</v>
          </cell>
          <cell r="R9">
            <v>1</v>
          </cell>
        </row>
        <row r="10">
          <cell r="L10">
            <v>1700400</v>
          </cell>
          <cell r="M10">
            <v>1700400</v>
          </cell>
          <cell r="N10">
            <v>32</v>
          </cell>
          <cell r="O10">
            <v>5006</v>
          </cell>
          <cell r="P10">
            <v>2517487.36</v>
          </cell>
          <cell r="Q10">
            <v>2517487.36</v>
          </cell>
          <cell r="R10">
            <v>546</v>
          </cell>
        </row>
        <row r="11">
          <cell r="D11">
            <v>412158.79000000004</v>
          </cell>
          <cell r="E11">
            <v>385958.5</v>
          </cell>
          <cell r="F11">
            <v>48</v>
          </cell>
          <cell r="L11">
            <v>0</v>
          </cell>
          <cell r="M11">
            <v>0</v>
          </cell>
          <cell r="N11">
            <v>0</v>
          </cell>
          <cell r="O11">
            <v>3483</v>
          </cell>
          <cell r="P11">
            <v>1467443.6199999999</v>
          </cell>
          <cell r="Q11">
            <v>1459122.42</v>
          </cell>
          <cell r="R11">
            <v>345</v>
          </cell>
        </row>
        <row r="12">
          <cell r="D12">
            <v>5093392.79</v>
          </cell>
          <cell r="E12">
            <v>5089927.46</v>
          </cell>
          <cell r="F12">
            <v>369</v>
          </cell>
          <cell r="L12">
            <v>0</v>
          </cell>
          <cell r="M12">
            <v>0</v>
          </cell>
          <cell r="N12">
            <v>0</v>
          </cell>
          <cell r="O12">
            <v>2261</v>
          </cell>
          <cell r="P12">
            <v>1455675.29</v>
          </cell>
          <cell r="Q12">
            <v>1455415.34</v>
          </cell>
          <cell r="R12">
            <v>232</v>
          </cell>
        </row>
        <row r="13">
          <cell r="D13">
            <v>2057124.3400000003</v>
          </cell>
          <cell r="E13">
            <v>2055045.9100000001</v>
          </cell>
          <cell r="F13">
            <v>214</v>
          </cell>
          <cell r="L13">
            <v>0</v>
          </cell>
          <cell r="M13">
            <v>0</v>
          </cell>
          <cell r="N13">
            <v>0</v>
          </cell>
          <cell r="O13">
            <v>2417</v>
          </cell>
          <cell r="P13">
            <v>1482240.7500000002</v>
          </cell>
          <cell r="Q13">
            <v>1482240.75</v>
          </cell>
          <cell r="R13">
            <v>247</v>
          </cell>
        </row>
        <row r="14">
          <cell r="D14">
            <v>3776240.7200000007</v>
          </cell>
          <cell r="E14">
            <v>3721712.16</v>
          </cell>
          <cell r="F14">
            <v>366</v>
          </cell>
          <cell r="L14">
            <v>0</v>
          </cell>
          <cell r="M14">
            <v>0</v>
          </cell>
          <cell r="N14">
            <v>0</v>
          </cell>
          <cell r="O14">
            <v>437</v>
          </cell>
          <cell r="P14">
            <v>229372.44</v>
          </cell>
          <cell r="Q14">
            <v>211754.88</v>
          </cell>
          <cell r="R14">
            <v>47</v>
          </cell>
        </row>
        <row r="15">
          <cell r="D15">
            <v>42447966.240000002</v>
          </cell>
          <cell r="E15">
            <v>41908901.139999993</v>
          </cell>
          <cell r="F15">
            <v>3474</v>
          </cell>
          <cell r="L15">
            <v>0</v>
          </cell>
          <cell r="M15">
            <v>0</v>
          </cell>
          <cell r="N15">
            <v>0</v>
          </cell>
          <cell r="O15">
            <v>15966</v>
          </cell>
          <cell r="P15">
            <v>8370286.7925000004</v>
          </cell>
          <cell r="Q15">
            <v>8233304.9324999992</v>
          </cell>
          <cell r="R15">
            <v>1613</v>
          </cell>
        </row>
        <row r="17">
          <cell r="D17">
            <v>7226.02</v>
          </cell>
          <cell r="E17">
            <v>7226.02</v>
          </cell>
          <cell r="F17">
            <v>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4314</v>
          </cell>
          <cell r="P18">
            <v>2233559.7725</v>
          </cell>
          <cell r="Q18">
            <v>2183952.5425</v>
          </cell>
          <cell r="R18">
            <v>439</v>
          </cell>
        </row>
        <row r="19">
          <cell r="D19">
            <v>29989045.319999997</v>
          </cell>
          <cell r="E19">
            <v>29450415.449999996</v>
          </cell>
          <cell r="F19">
            <v>2292</v>
          </cell>
          <cell r="L19">
            <v>0</v>
          </cell>
          <cell r="M19">
            <v>0</v>
          </cell>
          <cell r="N19">
            <v>0</v>
          </cell>
          <cell r="O19">
            <v>5819</v>
          </cell>
          <cell r="P19">
            <v>3042632.0599999996</v>
          </cell>
          <cell r="Q19">
            <v>3010504.7600000002</v>
          </cell>
          <cell r="R19">
            <v>581</v>
          </cell>
        </row>
        <row r="20">
          <cell r="D20">
            <v>0</v>
          </cell>
          <cell r="E20">
            <v>0</v>
          </cell>
          <cell r="F20">
            <v>0</v>
          </cell>
          <cell r="L20">
            <v>0</v>
          </cell>
          <cell r="M20">
            <v>0</v>
          </cell>
          <cell r="N20">
            <v>0</v>
          </cell>
          <cell r="O20">
            <v>2167</v>
          </cell>
          <cell r="P20">
            <v>987313.90999999992</v>
          </cell>
          <cell r="Q20">
            <v>961760.35000000009</v>
          </cell>
          <cell r="R20">
            <v>217</v>
          </cell>
        </row>
        <row r="22">
          <cell r="D22">
            <v>3490688.3899999997</v>
          </cell>
          <cell r="E22">
            <v>3454161.87</v>
          </cell>
          <cell r="F22">
            <v>296</v>
          </cell>
          <cell r="L22">
            <v>0</v>
          </cell>
          <cell r="M22">
            <v>0</v>
          </cell>
          <cell r="N22">
            <v>0</v>
          </cell>
          <cell r="O22">
            <v>1085</v>
          </cell>
          <cell r="P22">
            <v>594507.43999999994</v>
          </cell>
          <cell r="Q22">
            <v>586398.91999999993</v>
          </cell>
          <cell r="R22">
            <v>115</v>
          </cell>
        </row>
        <row r="23">
          <cell r="D23">
            <v>87495176.459999964</v>
          </cell>
          <cell r="E23">
            <v>87068130.530000001</v>
          </cell>
          <cell r="F23">
            <v>6541</v>
          </cell>
          <cell r="L23">
            <v>296400</v>
          </cell>
          <cell r="M23">
            <v>296400</v>
          </cell>
          <cell r="N23">
            <v>8</v>
          </cell>
          <cell r="O23">
            <v>26473</v>
          </cell>
          <cell r="P23">
            <v>14347110.68</v>
          </cell>
          <cell r="Q23">
            <v>14224201.969999999</v>
          </cell>
          <cell r="R23">
            <v>2701</v>
          </cell>
        </row>
        <row r="25">
          <cell r="D25">
            <v>1986782.0599999998</v>
          </cell>
          <cell r="E25">
            <v>1981198.66</v>
          </cell>
          <cell r="F25">
            <v>194</v>
          </cell>
          <cell r="L25">
            <v>0</v>
          </cell>
          <cell r="M25">
            <v>0</v>
          </cell>
          <cell r="N25">
            <v>0</v>
          </cell>
          <cell r="O25">
            <v>5573</v>
          </cell>
          <cell r="P25">
            <v>3054201.2899999996</v>
          </cell>
          <cell r="Q25">
            <v>3028715.9899999998</v>
          </cell>
          <cell r="R25">
            <v>585</v>
          </cell>
        </row>
        <row r="27">
          <cell r="D27">
            <v>1750937.82</v>
          </cell>
          <cell r="E27">
            <v>1708060.9</v>
          </cell>
          <cell r="F27">
            <v>166</v>
          </cell>
          <cell r="L27">
            <v>0</v>
          </cell>
          <cell r="M27">
            <v>0</v>
          </cell>
          <cell r="N27">
            <v>0</v>
          </cell>
          <cell r="O27">
            <v>2589</v>
          </cell>
          <cell r="P27">
            <v>1501707.9</v>
          </cell>
          <cell r="Q27">
            <v>1494946.6</v>
          </cell>
          <cell r="R27">
            <v>265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4479</v>
          </cell>
          <cell r="P30">
            <v>2086426.1300000001</v>
          </cell>
          <cell r="Q30">
            <v>2080310.83</v>
          </cell>
          <cell r="R30">
            <v>440</v>
          </cell>
        </row>
        <row r="33">
          <cell r="D33">
            <v>154688445.04299998</v>
          </cell>
          <cell r="E33">
            <v>152644760.623</v>
          </cell>
          <cell r="F33">
            <v>8708</v>
          </cell>
          <cell r="L33">
            <v>6396833.2000000002</v>
          </cell>
          <cell r="M33">
            <v>6443633.2000000002</v>
          </cell>
          <cell r="N33">
            <v>110</v>
          </cell>
          <cell r="O33">
            <v>31964</v>
          </cell>
          <cell r="P33">
            <v>18276929.675999999</v>
          </cell>
          <cell r="Q33">
            <v>17911778.465999998</v>
          </cell>
          <cell r="R33">
            <v>2651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1397</v>
          </cell>
          <cell r="P34">
            <v>1013226.4500000001</v>
          </cell>
          <cell r="Q34">
            <v>991541.85000000009</v>
          </cell>
          <cell r="R34">
            <v>121</v>
          </cell>
        </row>
        <row r="35">
          <cell r="D35">
            <v>35645215.939999998</v>
          </cell>
          <cell r="E35">
            <v>35495196.839999996</v>
          </cell>
          <cell r="F35">
            <v>1789</v>
          </cell>
          <cell r="L35">
            <v>6396833.2000000002</v>
          </cell>
          <cell r="M35">
            <v>6443633.2000000002</v>
          </cell>
          <cell r="N35">
            <v>110</v>
          </cell>
          <cell r="O35">
            <v>12812</v>
          </cell>
          <cell r="P35">
            <v>6616194.709999999</v>
          </cell>
          <cell r="Q35">
            <v>6471123.4899999993</v>
          </cell>
          <cell r="R35">
            <v>980</v>
          </cell>
        </row>
        <row r="37">
          <cell r="D37">
            <v>32066210.649999999</v>
          </cell>
          <cell r="E37">
            <v>32085794.489999998</v>
          </cell>
          <cell r="F37">
            <v>1562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L38">
            <v>0</v>
          </cell>
          <cell r="M38">
            <v>0</v>
          </cell>
          <cell r="N38">
            <v>0</v>
          </cell>
          <cell r="O38">
            <v>7726</v>
          </cell>
          <cell r="P38">
            <v>3555685.17</v>
          </cell>
          <cell r="Q38">
            <v>3465884.4699999997</v>
          </cell>
          <cell r="R38">
            <v>756</v>
          </cell>
        </row>
        <row r="39">
          <cell r="D39">
            <v>0</v>
          </cell>
          <cell r="E39">
            <v>0</v>
          </cell>
          <cell r="F39">
            <v>0</v>
          </cell>
          <cell r="L39">
            <v>0</v>
          </cell>
          <cell r="M39">
            <v>0</v>
          </cell>
          <cell r="N39">
            <v>0</v>
          </cell>
          <cell r="O39">
            <v>4492</v>
          </cell>
          <cell r="P39">
            <v>4318037.09</v>
          </cell>
          <cell r="Q39">
            <v>4269631.09</v>
          </cell>
          <cell r="R39">
            <v>389</v>
          </cell>
        </row>
        <row r="40">
          <cell r="D40">
            <v>0</v>
          </cell>
          <cell r="E40">
            <v>0</v>
          </cell>
          <cell r="F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4">
          <cell r="D44">
            <v>98064693.389999986</v>
          </cell>
          <cell r="E44">
            <v>98005249.799999997</v>
          </cell>
          <cell r="F44">
            <v>5071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11958541.82</v>
          </cell>
          <cell r="E45">
            <v>11755631.729999999</v>
          </cell>
          <cell r="F45">
            <v>614</v>
          </cell>
          <cell r="L45">
            <v>0</v>
          </cell>
          <cell r="M45">
            <v>0</v>
          </cell>
          <cell r="N45">
            <v>0</v>
          </cell>
          <cell r="O45">
            <v>1836</v>
          </cell>
          <cell r="P45">
            <v>856609.65</v>
          </cell>
          <cell r="Q45">
            <v>847349.05000000016</v>
          </cell>
          <cell r="R45">
            <v>174</v>
          </cell>
        </row>
        <row r="46">
          <cell r="D46">
            <v>16086827.600000001</v>
          </cell>
          <cell r="E46">
            <v>15286476.979999999</v>
          </cell>
          <cell r="F46">
            <v>769</v>
          </cell>
          <cell r="L46">
            <v>0</v>
          </cell>
          <cell r="M46">
            <v>0</v>
          </cell>
          <cell r="N46">
            <v>0</v>
          </cell>
          <cell r="O46">
            <v>3191</v>
          </cell>
          <cell r="P46">
            <v>1785809.2200000002</v>
          </cell>
          <cell r="Q46">
            <v>1610141.3800000001</v>
          </cell>
          <cell r="R46">
            <v>323</v>
          </cell>
        </row>
        <row r="47">
          <cell r="D47">
            <v>2452159.42</v>
          </cell>
          <cell r="E47">
            <v>2422628.3199999998</v>
          </cell>
          <cell r="F47">
            <v>107</v>
          </cell>
          <cell r="L47">
            <v>0</v>
          </cell>
          <cell r="M47">
            <v>0</v>
          </cell>
          <cell r="N47">
            <v>0</v>
          </cell>
          <cell r="O47">
            <v>1794</v>
          </cell>
          <cell r="P47">
            <v>814825.77999999991</v>
          </cell>
          <cell r="Q47">
            <v>814825.78</v>
          </cell>
          <cell r="R47">
            <v>108</v>
          </cell>
        </row>
        <row r="48">
          <cell r="L48">
            <v>0</v>
          </cell>
          <cell r="M48">
            <v>0</v>
          </cell>
          <cell r="N48">
            <v>0</v>
          </cell>
          <cell r="O48">
            <v>3675</v>
          </cell>
          <cell r="P48">
            <v>7056611.0300000003</v>
          </cell>
          <cell r="Q48">
            <v>7016106.4699999997</v>
          </cell>
          <cell r="R48">
            <v>482</v>
          </cell>
        </row>
        <row r="49"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59</v>
          </cell>
          <cell r="P50">
            <v>40253.97</v>
          </cell>
          <cell r="Q50">
            <v>40253.97</v>
          </cell>
          <cell r="R50">
            <v>7</v>
          </cell>
        </row>
        <row r="52">
          <cell r="D52">
            <v>1230402.03</v>
          </cell>
          <cell r="E52">
            <v>954261.21</v>
          </cell>
          <cell r="F52">
            <v>103</v>
          </cell>
          <cell r="L52">
            <v>0</v>
          </cell>
          <cell r="M52">
            <v>0</v>
          </cell>
          <cell r="N52">
            <v>0</v>
          </cell>
          <cell r="O52">
            <v>1710</v>
          </cell>
          <cell r="P52">
            <v>995455.66</v>
          </cell>
          <cell r="Q52">
            <v>928935.17999999993</v>
          </cell>
          <cell r="R52">
            <v>227</v>
          </cell>
        </row>
        <row r="53">
          <cell r="D53">
            <v>814685.35000000009</v>
          </cell>
          <cell r="E53">
            <v>801531.40999999992</v>
          </cell>
          <cell r="F53">
            <v>66</v>
          </cell>
          <cell r="L53">
            <v>0</v>
          </cell>
          <cell r="M53">
            <v>0</v>
          </cell>
          <cell r="N53">
            <v>0</v>
          </cell>
          <cell r="O53">
            <v>276</v>
          </cell>
          <cell r="P53">
            <v>130722.93</v>
          </cell>
          <cell r="Q53">
            <v>130722.93000000001</v>
          </cell>
          <cell r="R53">
            <v>32</v>
          </cell>
        </row>
        <row r="54">
          <cell r="D54">
            <v>0</v>
          </cell>
          <cell r="E54">
            <v>0</v>
          </cell>
          <cell r="F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D55">
            <v>239598.04</v>
          </cell>
          <cell r="E55">
            <v>178449.6</v>
          </cell>
          <cell r="F55">
            <v>23</v>
          </cell>
          <cell r="L55">
            <v>0</v>
          </cell>
          <cell r="M55">
            <v>0</v>
          </cell>
          <cell r="N55">
            <v>0</v>
          </cell>
          <cell r="O55">
            <v>39</v>
          </cell>
          <cell r="P55">
            <v>30742</v>
          </cell>
          <cell r="Q55">
            <v>16226.34</v>
          </cell>
          <cell r="R55">
            <v>4</v>
          </cell>
        </row>
        <row r="56">
          <cell r="D56">
            <v>17173.72</v>
          </cell>
          <cell r="E56">
            <v>17173.72</v>
          </cell>
          <cell r="F56">
            <v>3</v>
          </cell>
          <cell r="L56">
            <v>0</v>
          </cell>
          <cell r="M56">
            <v>0</v>
          </cell>
          <cell r="N56">
            <v>0</v>
          </cell>
          <cell r="O56">
            <v>77</v>
          </cell>
          <cell r="P56">
            <v>41136.720000000001</v>
          </cell>
          <cell r="Q56">
            <v>41136.720000000001</v>
          </cell>
          <cell r="R56">
            <v>9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21</v>
          </cell>
          <cell r="P57">
            <v>16468.440000000002</v>
          </cell>
          <cell r="Q57">
            <v>16468.440000000002</v>
          </cell>
          <cell r="R57">
            <v>2</v>
          </cell>
        </row>
        <row r="59">
          <cell r="D59">
            <v>500593.55</v>
          </cell>
          <cell r="E59">
            <v>430359.6</v>
          </cell>
          <cell r="F59">
            <v>40</v>
          </cell>
          <cell r="L59">
            <v>0</v>
          </cell>
          <cell r="M59">
            <v>0</v>
          </cell>
          <cell r="N59">
            <v>0</v>
          </cell>
          <cell r="O59">
            <v>156</v>
          </cell>
          <cell r="P59">
            <v>75424.570000000007</v>
          </cell>
          <cell r="Q59">
            <v>66074.570000000007</v>
          </cell>
          <cell r="R59">
            <v>18</v>
          </cell>
        </row>
        <row r="61">
          <cell r="D61">
            <v>0</v>
          </cell>
          <cell r="E61">
            <v>0</v>
          </cell>
          <cell r="F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L64">
            <v>0</v>
          </cell>
          <cell r="M64">
            <v>0</v>
          </cell>
          <cell r="N64">
            <v>0</v>
          </cell>
          <cell r="O64">
            <v>317</v>
          </cell>
          <cell r="P64">
            <v>617633.32000000007</v>
          </cell>
          <cell r="Q64">
            <v>359208.30000000005</v>
          </cell>
          <cell r="R64">
            <v>34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3">
          <cell r="L73">
            <v>0</v>
          </cell>
          <cell r="M73">
            <v>0</v>
          </cell>
          <cell r="N73">
            <v>0</v>
          </cell>
          <cell r="O73">
            <v>1305</v>
          </cell>
          <cell r="P73">
            <v>552370.67999999993</v>
          </cell>
          <cell r="Q73">
            <v>548210.07999999996</v>
          </cell>
          <cell r="R73">
            <v>125</v>
          </cell>
        </row>
        <row r="74">
          <cell r="L74">
            <v>11942349.75</v>
          </cell>
          <cell r="M74">
            <v>11875243.34</v>
          </cell>
          <cell r="N74">
            <v>196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20335982.949999999</v>
          </cell>
          <cell r="M75">
            <v>20315676.539999999</v>
          </cell>
          <cell r="N75">
            <v>346</v>
          </cell>
          <cell r="O75">
            <v>106856</v>
          </cell>
          <cell r="P75">
            <v>63894196.248499997</v>
          </cell>
          <cell r="Q75">
            <v>62627972.718499996</v>
          </cell>
          <cell r="R75">
            <v>10325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т"/>
      <sheetName val="буй"/>
      <sheetName val="кол"/>
      <sheetName val="сус"/>
      <sheetName val="нея"/>
      <sheetName val="пар"/>
      <sheetName val="пав"/>
      <sheetName val="костр"/>
      <sheetName val="госп"/>
      <sheetName val="НЭС"/>
      <sheetName val="пыщ"/>
      <sheetName val="муз1"/>
      <sheetName val="ПРОЗР"/>
      <sheetName val="стдв"/>
      <sheetName val="обл.ст"/>
      <sheetName val="стом1"/>
      <sheetName val="гавр"/>
      <sheetName val="зуб"/>
      <sheetName val="ОПТИМА"/>
      <sheetName val="спас"/>
      <sheetName val="цвд"/>
      <sheetName val="цах"/>
      <sheetName val="КРИСТ"/>
      <sheetName val="эстетика"/>
      <sheetName val="чародей"/>
      <sheetName val="сумма 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24">
          <cell r="C124">
            <v>29</v>
          </cell>
          <cell r="G124">
            <v>40</v>
          </cell>
          <cell r="K124">
            <v>0</v>
          </cell>
          <cell r="O124">
            <v>0</v>
          </cell>
          <cell r="S124">
            <v>211.91999999999996</v>
          </cell>
          <cell r="W124">
            <v>19</v>
          </cell>
          <cell r="AA124">
            <v>72</v>
          </cell>
          <cell r="AG124">
            <v>75</v>
          </cell>
        </row>
        <row r="128">
          <cell r="C128">
            <v>56</v>
          </cell>
          <cell r="G128">
            <v>21</v>
          </cell>
          <cell r="K128">
            <v>0</v>
          </cell>
          <cell r="O128">
            <v>71</v>
          </cell>
          <cell r="S128">
            <v>296.61</v>
          </cell>
          <cell r="W128">
            <v>7</v>
          </cell>
          <cell r="AA128">
            <v>81</v>
          </cell>
        </row>
        <row r="129">
          <cell r="C129">
            <v>2785</v>
          </cell>
          <cell r="G129">
            <v>1391</v>
          </cell>
          <cell r="O129">
            <v>2137</v>
          </cell>
          <cell r="S129">
            <v>23813.559999999998</v>
          </cell>
          <cell r="W129">
            <v>667</v>
          </cell>
          <cell r="AA129">
            <v>6668</v>
          </cell>
        </row>
        <row r="130">
          <cell r="C130">
            <v>290</v>
          </cell>
          <cell r="G130">
            <v>246</v>
          </cell>
          <cell r="K130">
            <v>0</v>
          </cell>
          <cell r="O130">
            <v>379</v>
          </cell>
          <cell r="S130">
            <v>3518.0099999999998</v>
          </cell>
          <cell r="W130">
            <v>96</v>
          </cell>
          <cell r="AA130">
            <v>944</v>
          </cell>
        </row>
      </sheetData>
      <sheetData sheetId="1">
        <row r="124">
          <cell r="C124">
            <v>826</v>
          </cell>
          <cell r="G124">
            <v>112</v>
          </cell>
          <cell r="K124">
            <v>0</v>
          </cell>
          <cell r="O124">
            <v>150</v>
          </cell>
          <cell r="S124">
            <v>1403.9999999999998</v>
          </cell>
          <cell r="W124">
            <v>101</v>
          </cell>
          <cell r="AA124">
            <v>388</v>
          </cell>
          <cell r="AG124">
            <v>573</v>
          </cell>
        </row>
        <row r="128">
          <cell r="C128">
            <v>17169</v>
          </cell>
          <cell r="G128">
            <v>5448</v>
          </cell>
          <cell r="K128">
            <v>0</v>
          </cell>
          <cell r="O128">
            <v>4747</v>
          </cell>
          <cell r="S128">
            <v>67867.820000000007</v>
          </cell>
          <cell r="W128">
            <v>1891</v>
          </cell>
          <cell r="AA128">
            <v>10853</v>
          </cell>
        </row>
        <row r="129">
          <cell r="C129">
            <v>468</v>
          </cell>
          <cell r="G129">
            <v>139</v>
          </cell>
          <cell r="O129">
            <v>61</v>
          </cell>
          <cell r="S129">
            <v>1003.7</v>
          </cell>
          <cell r="W129">
            <v>35</v>
          </cell>
          <cell r="AA129">
            <v>245</v>
          </cell>
        </row>
        <row r="130">
          <cell r="C130">
            <v>12498</v>
          </cell>
          <cell r="G130">
            <v>4755</v>
          </cell>
          <cell r="K130">
            <v>0</v>
          </cell>
          <cell r="O130">
            <v>3198</v>
          </cell>
          <cell r="S130">
            <v>45946.36</v>
          </cell>
          <cell r="W130">
            <v>2031</v>
          </cell>
          <cell r="AA130">
            <v>7327</v>
          </cell>
        </row>
      </sheetData>
      <sheetData sheetId="2">
        <row r="124">
          <cell r="C124">
            <v>8</v>
          </cell>
          <cell r="G124">
            <v>9</v>
          </cell>
          <cell r="O124">
            <v>0</v>
          </cell>
          <cell r="S124">
            <v>66</v>
          </cell>
          <cell r="W124">
            <v>4</v>
          </cell>
          <cell r="AA124">
            <v>29</v>
          </cell>
          <cell r="AG124">
            <v>82</v>
          </cell>
        </row>
        <row r="128">
          <cell r="C128">
            <v>1056</v>
          </cell>
          <cell r="G128">
            <v>866</v>
          </cell>
          <cell r="O128">
            <v>628</v>
          </cell>
          <cell r="S128">
            <v>7606.79</v>
          </cell>
          <cell r="W128">
            <v>128</v>
          </cell>
          <cell r="AA128">
            <v>1630</v>
          </cell>
        </row>
        <row r="129">
          <cell r="C129">
            <v>3</v>
          </cell>
          <cell r="G129">
            <v>16</v>
          </cell>
          <cell r="O129">
            <v>0</v>
          </cell>
          <cell r="S129">
            <v>128.03</v>
          </cell>
          <cell r="W129">
            <v>0</v>
          </cell>
          <cell r="AA129">
            <v>28</v>
          </cell>
        </row>
        <row r="130">
          <cell r="C130">
            <v>956</v>
          </cell>
          <cell r="G130">
            <v>1303</v>
          </cell>
          <cell r="O130">
            <v>659</v>
          </cell>
          <cell r="S130">
            <v>7340.14</v>
          </cell>
          <cell r="W130">
            <v>176</v>
          </cell>
          <cell r="AA130">
            <v>1567</v>
          </cell>
        </row>
      </sheetData>
      <sheetData sheetId="3">
        <row r="124">
          <cell r="C124">
            <v>18</v>
          </cell>
          <cell r="G124">
            <v>3</v>
          </cell>
          <cell r="O124">
            <v>23</v>
          </cell>
          <cell r="S124">
            <v>61.16</v>
          </cell>
          <cell r="W124">
            <v>0</v>
          </cell>
          <cell r="AA124">
            <v>6</v>
          </cell>
          <cell r="AG124">
            <v>84</v>
          </cell>
        </row>
        <row r="128">
          <cell r="C128">
            <v>1245</v>
          </cell>
          <cell r="G128">
            <v>517</v>
          </cell>
          <cell r="O128">
            <v>1774</v>
          </cell>
          <cell r="S128">
            <v>13037.45</v>
          </cell>
          <cell r="W128">
            <v>525</v>
          </cell>
          <cell r="AA128">
            <v>5251</v>
          </cell>
        </row>
        <row r="129">
          <cell r="C129">
            <v>35</v>
          </cell>
          <cell r="G129">
            <v>23</v>
          </cell>
          <cell r="O129">
            <v>21</v>
          </cell>
          <cell r="S129">
            <v>181.80000000000004</v>
          </cell>
          <cell r="W129">
            <v>12</v>
          </cell>
          <cell r="AA129">
            <v>83</v>
          </cell>
        </row>
        <row r="130">
          <cell r="C130">
            <v>988</v>
          </cell>
          <cell r="G130">
            <v>472</v>
          </cell>
          <cell r="O130">
            <v>757</v>
          </cell>
          <cell r="S130">
            <v>10058.450000000001</v>
          </cell>
          <cell r="W130">
            <v>532</v>
          </cell>
          <cell r="AA130">
            <v>3874</v>
          </cell>
        </row>
      </sheetData>
      <sheetData sheetId="4">
        <row r="124">
          <cell r="C124">
            <v>321</v>
          </cell>
          <cell r="G124">
            <v>67</v>
          </cell>
          <cell r="O124">
            <v>129</v>
          </cell>
          <cell r="S124">
            <v>1038.81</v>
          </cell>
          <cell r="W124">
            <v>7</v>
          </cell>
          <cell r="AA124">
            <v>445</v>
          </cell>
          <cell r="AG124">
            <v>157</v>
          </cell>
        </row>
        <row r="128">
          <cell r="C128">
            <v>9234</v>
          </cell>
          <cell r="G128">
            <v>2016</v>
          </cell>
          <cell r="O128">
            <v>5150</v>
          </cell>
          <cell r="S128">
            <v>34852.160000000003</v>
          </cell>
          <cell r="W128">
            <v>340</v>
          </cell>
          <cell r="AA128">
            <v>12436</v>
          </cell>
        </row>
        <row r="129">
          <cell r="C129">
            <v>3154</v>
          </cell>
          <cell r="G129">
            <v>508</v>
          </cell>
          <cell r="O129">
            <v>1085</v>
          </cell>
          <cell r="S129">
            <v>11694.03</v>
          </cell>
          <cell r="W129">
            <v>55</v>
          </cell>
          <cell r="AA129">
            <v>4289</v>
          </cell>
        </row>
        <row r="130">
          <cell r="C130">
            <v>3881</v>
          </cell>
          <cell r="G130">
            <v>1054</v>
          </cell>
          <cell r="O130">
            <v>2115</v>
          </cell>
          <cell r="S130">
            <v>16493.009999999998</v>
          </cell>
          <cell r="W130">
            <v>220</v>
          </cell>
          <cell r="AA130">
            <v>5217</v>
          </cell>
        </row>
      </sheetData>
      <sheetData sheetId="5">
        <row r="124">
          <cell r="C124">
            <v>137</v>
          </cell>
          <cell r="G124">
            <v>52</v>
          </cell>
          <cell r="O124">
            <v>62</v>
          </cell>
          <cell r="S124">
            <v>679.4899999999999</v>
          </cell>
          <cell r="W124">
            <v>61</v>
          </cell>
          <cell r="AA124">
            <v>382</v>
          </cell>
          <cell r="AG124">
            <v>29</v>
          </cell>
        </row>
        <row r="128">
          <cell r="C128">
            <v>69</v>
          </cell>
          <cell r="G128">
            <v>15</v>
          </cell>
          <cell r="O128">
            <v>10</v>
          </cell>
          <cell r="S128">
            <v>360.53999999999996</v>
          </cell>
          <cell r="W128">
            <v>13</v>
          </cell>
          <cell r="AA128">
            <v>110</v>
          </cell>
        </row>
        <row r="129">
          <cell r="C129">
            <v>3051</v>
          </cell>
          <cell r="G129">
            <v>1246</v>
          </cell>
          <cell r="O129">
            <v>2261</v>
          </cell>
          <cell r="S129">
            <v>23746.460000000003</v>
          </cell>
          <cell r="W129">
            <v>1197</v>
          </cell>
          <cell r="AA129">
            <v>7183</v>
          </cell>
        </row>
        <row r="130">
          <cell r="C130">
            <v>446</v>
          </cell>
          <cell r="G130">
            <v>344</v>
          </cell>
          <cell r="O130">
            <v>632</v>
          </cell>
          <cell r="S130">
            <v>3255.3300000000004</v>
          </cell>
          <cell r="W130">
            <v>422</v>
          </cell>
          <cell r="AA130">
            <v>1148</v>
          </cell>
        </row>
      </sheetData>
      <sheetData sheetId="6">
        <row r="124">
          <cell r="C124">
            <v>28</v>
          </cell>
          <cell r="G124">
            <v>18</v>
          </cell>
          <cell r="O124">
            <v>16</v>
          </cell>
          <cell r="S124">
            <v>126.01</v>
          </cell>
          <cell r="W124">
            <v>11</v>
          </cell>
          <cell r="AA124">
            <v>62</v>
          </cell>
          <cell r="AG124">
            <v>40</v>
          </cell>
        </row>
        <row r="128">
          <cell r="C128">
            <v>38</v>
          </cell>
          <cell r="G128">
            <v>15</v>
          </cell>
          <cell r="O128">
            <v>10</v>
          </cell>
          <cell r="S128">
            <v>176.08999999999997</v>
          </cell>
          <cell r="W128">
            <v>2</v>
          </cell>
          <cell r="AA128">
            <v>47</v>
          </cell>
        </row>
        <row r="129">
          <cell r="C129">
            <v>2095</v>
          </cell>
          <cell r="G129">
            <v>1263</v>
          </cell>
          <cell r="O129">
            <v>3746</v>
          </cell>
          <cell r="S129">
            <v>12321.31</v>
          </cell>
          <cell r="W129">
            <v>648</v>
          </cell>
          <cell r="AA129">
            <v>3379</v>
          </cell>
        </row>
        <row r="130">
          <cell r="C130">
            <v>215</v>
          </cell>
          <cell r="G130">
            <v>105</v>
          </cell>
          <cell r="O130">
            <v>247</v>
          </cell>
          <cell r="S130">
            <v>1356.05</v>
          </cell>
          <cell r="W130">
            <v>45</v>
          </cell>
          <cell r="AA130">
            <v>482</v>
          </cell>
        </row>
      </sheetData>
      <sheetData sheetId="7">
        <row r="124">
          <cell r="C124">
            <v>705</v>
          </cell>
          <cell r="G124">
            <v>0</v>
          </cell>
          <cell r="O124">
            <v>90</v>
          </cell>
          <cell r="S124">
            <v>1362.82</v>
          </cell>
          <cell r="W124">
            <v>36</v>
          </cell>
          <cell r="AA124">
            <v>402</v>
          </cell>
          <cell r="AG124">
            <v>0</v>
          </cell>
        </row>
        <row r="128">
          <cell r="C128">
            <v>12996</v>
          </cell>
          <cell r="G128">
            <v>0</v>
          </cell>
          <cell r="O128">
            <v>2266</v>
          </cell>
          <cell r="S128">
            <v>29126.639999999999</v>
          </cell>
          <cell r="W128">
            <v>578</v>
          </cell>
          <cell r="AA128">
            <v>7817</v>
          </cell>
        </row>
        <row r="129">
          <cell r="C129">
            <v>14557</v>
          </cell>
          <cell r="G129">
            <v>0</v>
          </cell>
          <cell r="O129">
            <v>2166</v>
          </cell>
          <cell r="S129">
            <v>34680.04</v>
          </cell>
          <cell r="W129">
            <v>509</v>
          </cell>
          <cell r="AA129">
            <v>11443</v>
          </cell>
        </row>
        <row r="130">
          <cell r="C130">
            <v>25735</v>
          </cell>
          <cell r="G130">
            <v>0</v>
          </cell>
          <cell r="O130">
            <v>3647</v>
          </cell>
          <cell r="S130">
            <v>65503.700000000004</v>
          </cell>
          <cell r="W130">
            <v>1739</v>
          </cell>
          <cell r="AA130">
            <v>15458</v>
          </cell>
        </row>
      </sheetData>
      <sheetData sheetId="8">
        <row r="124">
          <cell r="C124">
            <v>514</v>
          </cell>
          <cell r="G124">
            <v>0</v>
          </cell>
          <cell r="K124">
            <v>0</v>
          </cell>
          <cell r="O124">
            <v>87</v>
          </cell>
          <cell r="S124">
            <v>512.82000000000005</v>
          </cell>
          <cell r="W124">
            <v>0</v>
          </cell>
          <cell r="AA124">
            <v>88</v>
          </cell>
          <cell r="AG124">
            <v>0</v>
          </cell>
        </row>
        <row r="128">
          <cell r="C128">
            <v>7171</v>
          </cell>
          <cell r="G128">
            <v>0</v>
          </cell>
          <cell r="K128">
            <v>0</v>
          </cell>
          <cell r="O128">
            <v>2972</v>
          </cell>
          <cell r="S128">
            <v>17631.189999999999</v>
          </cell>
          <cell r="W128">
            <v>0</v>
          </cell>
          <cell r="AA128">
            <v>2903</v>
          </cell>
        </row>
        <row r="129">
          <cell r="C129">
            <v>8175</v>
          </cell>
          <cell r="G129">
            <v>0</v>
          </cell>
          <cell r="O129">
            <v>1836</v>
          </cell>
          <cell r="S129">
            <v>14800.95</v>
          </cell>
          <cell r="W129">
            <v>0</v>
          </cell>
          <cell r="AA129">
            <v>2084</v>
          </cell>
        </row>
        <row r="130">
          <cell r="C130">
            <v>27430</v>
          </cell>
          <cell r="G130">
            <v>0</v>
          </cell>
          <cell r="K130">
            <v>0</v>
          </cell>
          <cell r="O130">
            <v>3679</v>
          </cell>
          <cell r="S130">
            <v>26073.210000000003</v>
          </cell>
          <cell r="W130">
            <v>0</v>
          </cell>
          <cell r="AA130">
            <v>3839</v>
          </cell>
        </row>
      </sheetData>
      <sheetData sheetId="9">
        <row r="124">
          <cell r="C124">
            <v>11</v>
          </cell>
          <cell r="K124">
            <v>73</v>
          </cell>
          <cell r="O124">
            <v>0</v>
          </cell>
          <cell r="S124">
            <v>28</v>
          </cell>
          <cell r="W124">
            <v>0</v>
          </cell>
          <cell r="AA124">
            <v>0</v>
          </cell>
        </row>
        <row r="128">
          <cell r="C128">
            <v>1101</v>
          </cell>
          <cell r="K128">
            <v>1559</v>
          </cell>
          <cell r="O128">
            <v>0</v>
          </cell>
          <cell r="S128">
            <v>565</v>
          </cell>
          <cell r="W128">
            <v>0</v>
          </cell>
          <cell r="AA128">
            <v>2</v>
          </cell>
        </row>
        <row r="129">
          <cell r="C129">
            <v>731</v>
          </cell>
          <cell r="G129">
            <v>0</v>
          </cell>
          <cell r="K129">
            <v>2336</v>
          </cell>
          <cell r="O129">
            <v>0</v>
          </cell>
          <cell r="S129">
            <v>427</v>
          </cell>
          <cell r="W129">
            <v>0</v>
          </cell>
          <cell r="AA129">
            <v>0</v>
          </cell>
        </row>
        <row r="130">
          <cell r="C130">
            <v>1264</v>
          </cell>
          <cell r="G130">
            <v>0</v>
          </cell>
          <cell r="K130">
            <v>5432</v>
          </cell>
          <cell r="O130">
            <v>0</v>
          </cell>
          <cell r="S130">
            <v>944</v>
          </cell>
          <cell r="W130">
            <v>0</v>
          </cell>
          <cell r="AA130">
            <v>0</v>
          </cell>
        </row>
      </sheetData>
      <sheetData sheetId="10">
        <row r="124">
          <cell r="C124">
            <v>0</v>
          </cell>
          <cell r="G124">
            <v>13</v>
          </cell>
          <cell r="O124">
            <v>20</v>
          </cell>
          <cell r="S124">
            <v>157.35</v>
          </cell>
          <cell r="W124">
            <v>2</v>
          </cell>
          <cell r="AA124">
            <v>43</v>
          </cell>
          <cell r="AG124">
            <v>288</v>
          </cell>
        </row>
        <row r="128">
          <cell r="C128">
            <v>0</v>
          </cell>
          <cell r="G128">
            <v>12</v>
          </cell>
          <cell r="O128">
            <v>49</v>
          </cell>
          <cell r="S128">
            <v>133.13999999999999</v>
          </cell>
          <cell r="W128">
            <v>13</v>
          </cell>
          <cell r="AA128">
            <v>44</v>
          </cell>
        </row>
        <row r="129">
          <cell r="C129">
            <v>1601</v>
          </cell>
          <cell r="G129">
            <v>807</v>
          </cell>
          <cell r="O129">
            <v>2589</v>
          </cell>
          <cell r="S129">
            <v>14560.7</v>
          </cell>
          <cell r="W129">
            <v>327</v>
          </cell>
          <cell r="AA129">
            <v>3739</v>
          </cell>
        </row>
        <row r="130">
          <cell r="C130">
            <v>774</v>
          </cell>
          <cell r="G130">
            <v>438</v>
          </cell>
          <cell r="O130">
            <v>1245</v>
          </cell>
          <cell r="S130">
            <v>6949.76</v>
          </cell>
          <cell r="W130">
            <v>160</v>
          </cell>
          <cell r="AA130">
            <v>1231</v>
          </cell>
        </row>
      </sheetData>
      <sheetData sheetId="11">
        <row r="124">
          <cell r="C124">
            <v>1678</v>
          </cell>
          <cell r="G124">
            <v>0</v>
          </cell>
          <cell r="K124">
            <v>13</v>
          </cell>
          <cell r="O124">
            <v>616</v>
          </cell>
          <cell r="S124">
            <v>3328</v>
          </cell>
          <cell r="W124">
            <v>915</v>
          </cell>
          <cell r="AA124">
            <v>996</v>
          </cell>
          <cell r="AG124">
            <v>0</v>
          </cell>
        </row>
        <row r="128">
          <cell r="C128">
            <v>26090</v>
          </cell>
          <cell r="G128">
            <v>0</v>
          </cell>
          <cell r="K128">
            <v>1144</v>
          </cell>
          <cell r="O128">
            <v>17400</v>
          </cell>
          <cell r="S128">
            <v>97383</v>
          </cell>
          <cell r="W128">
            <v>9643</v>
          </cell>
          <cell r="AA128">
            <v>19589</v>
          </cell>
        </row>
        <row r="129">
          <cell r="C129">
            <v>21454</v>
          </cell>
          <cell r="G129">
            <v>0</v>
          </cell>
          <cell r="K129">
            <v>861</v>
          </cell>
          <cell r="O129">
            <v>12812</v>
          </cell>
          <cell r="S129">
            <v>90754</v>
          </cell>
          <cell r="W129">
            <v>6719</v>
          </cell>
          <cell r="AA129">
            <v>22946</v>
          </cell>
        </row>
        <row r="130">
          <cell r="C130">
            <v>43340</v>
          </cell>
          <cell r="G130">
            <v>0</v>
          </cell>
          <cell r="K130">
            <v>4759</v>
          </cell>
          <cell r="O130">
            <v>22252</v>
          </cell>
          <cell r="S130">
            <v>205115</v>
          </cell>
          <cell r="W130">
            <v>16930</v>
          </cell>
          <cell r="AA130">
            <v>34393</v>
          </cell>
        </row>
      </sheetData>
      <sheetData sheetId="12">
        <row r="124">
          <cell r="C124">
            <v>0</v>
          </cell>
          <cell r="G124">
            <v>0</v>
          </cell>
          <cell r="O124">
            <v>0</v>
          </cell>
          <cell r="S124">
            <v>29</v>
          </cell>
          <cell r="W124">
            <v>0</v>
          </cell>
          <cell r="AA124">
            <v>5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452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430</v>
          </cell>
          <cell r="W129">
            <v>0</v>
          </cell>
          <cell r="AA129">
            <v>0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1009</v>
          </cell>
          <cell r="W130">
            <v>0</v>
          </cell>
          <cell r="AA130">
            <v>0</v>
          </cell>
        </row>
      </sheetData>
      <sheetData sheetId="13">
        <row r="124">
          <cell r="C124">
            <v>0</v>
          </cell>
          <cell r="G124">
            <v>0</v>
          </cell>
          <cell r="O124">
            <v>0</v>
          </cell>
          <cell r="S124">
            <v>83.410000000000011</v>
          </cell>
          <cell r="W124">
            <v>0</v>
          </cell>
          <cell r="AA124">
            <v>17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3155.3</v>
          </cell>
          <cell r="W128">
            <v>0</v>
          </cell>
          <cell r="AA128">
            <v>269</v>
          </cell>
        </row>
        <row r="129">
          <cell r="G129">
            <v>0</v>
          </cell>
          <cell r="S129">
            <v>3131.6900000000005</v>
          </cell>
          <cell r="W129">
            <v>0</v>
          </cell>
          <cell r="AA129">
            <v>325</v>
          </cell>
        </row>
        <row r="130">
          <cell r="G130">
            <v>0</v>
          </cell>
          <cell r="S130">
            <v>3255.84</v>
          </cell>
          <cell r="W130">
            <v>0</v>
          </cell>
          <cell r="AA130">
            <v>0</v>
          </cell>
        </row>
      </sheetData>
      <sheetData sheetId="14">
        <row r="124">
          <cell r="C124">
            <v>0</v>
          </cell>
          <cell r="G124">
            <v>0</v>
          </cell>
          <cell r="K124">
            <v>0</v>
          </cell>
          <cell r="O124">
            <v>0</v>
          </cell>
          <cell r="S124">
            <v>3554.491</v>
          </cell>
          <cell r="W124">
            <v>0</v>
          </cell>
          <cell r="AA124">
            <v>733</v>
          </cell>
          <cell r="AG124">
            <v>0</v>
          </cell>
        </row>
        <row r="128">
          <cell r="C128">
            <v>0</v>
          </cell>
          <cell r="G128">
            <v>0</v>
          </cell>
          <cell r="K128">
            <v>0</v>
          </cell>
          <cell r="O128">
            <v>0</v>
          </cell>
          <cell r="S128">
            <v>69521.83</v>
          </cell>
          <cell r="W128">
            <v>0</v>
          </cell>
          <cell r="AA128">
            <v>6879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45145.759999999995</v>
          </cell>
          <cell r="W129">
            <v>0</v>
          </cell>
          <cell r="AA129">
            <v>9093</v>
          </cell>
        </row>
        <row r="130">
          <cell r="C130">
            <v>0</v>
          </cell>
          <cell r="G130">
            <v>0</v>
          </cell>
          <cell r="K130">
            <v>0</v>
          </cell>
          <cell r="O130">
            <v>0</v>
          </cell>
          <cell r="S130">
            <v>99743.060000000012</v>
          </cell>
          <cell r="W130">
            <v>0</v>
          </cell>
          <cell r="AA130">
            <v>0</v>
          </cell>
        </row>
      </sheetData>
      <sheetData sheetId="15">
        <row r="124">
          <cell r="C124">
            <v>0</v>
          </cell>
          <cell r="O124">
            <v>0</v>
          </cell>
          <cell r="S124">
            <v>2808.9799999999996</v>
          </cell>
          <cell r="W124">
            <v>0</v>
          </cell>
          <cell r="AA124">
            <v>278.02999999999997</v>
          </cell>
        </row>
        <row r="128">
          <cell r="C128">
            <v>0</v>
          </cell>
          <cell r="O128">
            <v>0</v>
          </cell>
          <cell r="S128">
            <v>44952.560000000005</v>
          </cell>
          <cell r="W128">
            <v>0</v>
          </cell>
          <cell r="AA128">
            <v>3365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30164.850000000002</v>
          </cell>
          <cell r="W129">
            <v>0</v>
          </cell>
          <cell r="AA129">
            <v>2782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84183.959999999992</v>
          </cell>
          <cell r="W130">
            <v>0</v>
          </cell>
          <cell r="AA130">
            <v>0</v>
          </cell>
        </row>
      </sheetData>
      <sheetData sheetId="16">
        <row r="124">
          <cell r="C124">
            <v>0</v>
          </cell>
          <cell r="G124">
            <v>0</v>
          </cell>
          <cell r="K124">
            <v>0</v>
          </cell>
          <cell r="O124">
            <v>103</v>
          </cell>
          <cell r="S124">
            <v>948.10999999999979</v>
          </cell>
          <cell r="W124">
            <v>5</v>
          </cell>
          <cell r="AA124">
            <v>150</v>
          </cell>
          <cell r="AG124">
            <v>0</v>
          </cell>
        </row>
        <row r="128">
          <cell r="C128">
            <v>0</v>
          </cell>
          <cell r="G128">
            <v>0</v>
          </cell>
          <cell r="K128">
            <v>0</v>
          </cell>
          <cell r="O128">
            <v>2793</v>
          </cell>
          <cell r="S128">
            <v>18003.64</v>
          </cell>
          <cell r="W128">
            <v>189</v>
          </cell>
          <cell r="AA128">
            <v>3802</v>
          </cell>
        </row>
        <row r="129">
          <cell r="C129">
            <v>0</v>
          </cell>
          <cell r="G129">
            <v>0</v>
          </cell>
          <cell r="O129">
            <v>12</v>
          </cell>
          <cell r="S129">
            <v>139.46000000000004</v>
          </cell>
          <cell r="W129">
            <v>0</v>
          </cell>
          <cell r="AA129">
            <v>26</v>
          </cell>
        </row>
        <row r="130">
          <cell r="C130">
            <v>0</v>
          </cell>
          <cell r="G130">
            <v>0</v>
          </cell>
          <cell r="K130">
            <v>0</v>
          </cell>
          <cell r="O130">
            <v>2873</v>
          </cell>
          <cell r="S130">
            <v>16813.550000000003</v>
          </cell>
          <cell r="W130">
            <v>114</v>
          </cell>
          <cell r="AA130">
            <v>3044</v>
          </cell>
        </row>
      </sheetData>
      <sheetData sheetId="17">
        <row r="124">
          <cell r="C124">
            <v>0</v>
          </cell>
          <cell r="G124">
            <v>0</v>
          </cell>
          <cell r="O124">
            <v>0</v>
          </cell>
          <cell r="S124">
            <v>628.15000000000009</v>
          </cell>
          <cell r="W124">
            <v>0</v>
          </cell>
          <cell r="AA124">
            <v>68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12538.82</v>
          </cell>
          <cell r="W128">
            <v>0</v>
          </cell>
          <cell r="AA128">
            <v>883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9100.8799999999992</v>
          </cell>
          <cell r="W129">
            <v>0</v>
          </cell>
          <cell r="AA129">
            <v>575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11006.669999999998</v>
          </cell>
          <cell r="W130">
            <v>0</v>
          </cell>
          <cell r="AA130">
            <v>0</v>
          </cell>
        </row>
      </sheetData>
      <sheetData sheetId="18">
        <row r="124">
          <cell r="C124">
            <v>0</v>
          </cell>
          <cell r="G124">
            <v>0</v>
          </cell>
          <cell r="O124">
            <v>0</v>
          </cell>
          <cell r="S124">
            <v>1107.42</v>
          </cell>
          <cell r="W124">
            <v>0</v>
          </cell>
          <cell r="AA124">
            <v>-2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1336.01</v>
          </cell>
          <cell r="W128">
            <v>0</v>
          </cell>
          <cell r="AA128">
            <v>53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16902.589999999997</v>
          </cell>
          <cell r="W129">
            <v>0</v>
          </cell>
          <cell r="AA129">
            <v>792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11982.779999999999</v>
          </cell>
          <cell r="W130">
            <v>0</v>
          </cell>
          <cell r="AA130">
            <v>0</v>
          </cell>
        </row>
      </sheetData>
      <sheetData sheetId="19">
        <row r="124">
          <cell r="C124">
            <v>0</v>
          </cell>
          <cell r="G124">
            <v>0</v>
          </cell>
          <cell r="O124">
            <v>10</v>
          </cell>
          <cell r="S124">
            <v>67.63000000000001</v>
          </cell>
          <cell r="W124">
            <v>5</v>
          </cell>
          <cell r="AA124">
            <v>10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65.92</v>
          </cell>
          <cell r="W128">
            <v>2</v>
          </cell>
          <cell r="AA128">
            <v>11</v>
          </cell>
        </row>
        <row r="129">
          <cell r="C129">
            <v>0</v>
          </cell>
          <cell r="G129">
            <v>0</v>
          </cell>
          <cell r="O129">
            <v>2167</v>
          </cell>
          <cell r="S129">
            <v>12393.699999999999</v>
          </cell>
          <cell r="W129">
            <v>274</v>
          </cell>
          <cell r="AA129">
            <v>1640</v>
          </cell>
        </row>
        <row r="130">
          <cell r="C130">
            <v>0</v>
          </cell>
          <cell r="G130">
            <v>0</v>
          </cell>
          <cell r="O130">
            <v>859</v>
          </cell>
          <cell r="S130">
            <v>5915.99</v>
          </cell>
          <cell r="W130">
            <v>117</v>
          </cell>
          <cell r="AA130">
            <v>631</v>
          </cell>
        </row>
      </sheetData>
      <sheetData sheetId="20">
        <row r="124">
          <cell r="C124">
            <v>0</v>
          </cell>
          <cell r="G124">
            <v>0</v>
          </cell>
          <cell r="K124">
            <v>0</v>
          </cell>
          <cell r="O124">
            <v>235</v>
          </cell>
          <cell r="S124">
            <v>32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0</v>
          </cell>
          <cell r="G128">
            <v>0</v>
          </cell>
          <cell r="K128">
            <v>0</v>
          </cell>
          <cell r="O128">
            <v>4920</v>
          </cell>
          <cell r="S128">
            <v>668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0</v>
          </cell>
          <cell r="O129">
            <v>4492</v>
          </cell>
          <cell r="S129">
            <v>660</v>
          </cell>
          <cell r="W129">
            <v>0</v>
          </cell>
          <cell r="AA129">
            <v>0</v>
          </cell>
        </row>
        <row r="130">
          <cell r="C130">
            <v>0</v>
          </cell>
          <cell r="G130">
            <v>0</v>
          </cell>
          <cell r="K130">
            <v>0</v>
          </cell>
          <cell r="O130">
            <v>13270</v>
          </cell>
          <cell r="S130">
            <v>1908</v>
          </cell>
          <cell r="W130">
            <v>0</v>
          </cell>
          <cell r="AA130">
            <v>0</v>
          </cell>
        </row>
      </sheetData>
      <sheetData sheetId="21">
        <row r="124">
          <cell r="C124">
            <v>0</v>
          </cell>
          <cell r="G124">
            <v>0</v>
          </cell>
          <cell r="O124">
            <v>16</v>
          </cell>
          <cell r="S124">
            <v>1</v>
          </cell>
          <cell r="W124">
            <v>0</v>
          </cell>
          <cell r="AA124">
            <v>2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324</v>
          </cell>
          <cell r="S128">
            <v>68</v>
          </cell>
          <cell r="W128">
            <v>0</v>
          </cell>
          <cell r="AA128">
            <v>53</v>
          </cell>
        </row>
        <row r="129">
          <cell r="C129">
            <v>0</v>
          </cell>
          <cell r="G129">
            <v>0</v>
          </cell>
          <cell r="O129">
            <v>317</v>
          </cell>
          <cell r="S129">
            <v>59</v>
          </cell>
          <cell r="W129">
            <v>0</v>
          </cell>
          <cell r="AA129">
            <v>35</v>
          </cell>
        </row>
        <row r="130">
          <cell r="C130">
            <v>0</v>
          </cell>
          <cell r="G130">
            <v>0</v>
          </cell>
          <cell r="O130">
            <v>517</v>
          </cell>
          <cell r="S130">
            <v>91</v>
          </cell>
          <cell r="W130">
            <v>0</v>
          </cell>
          <cell r="AA130">
            <v>70</v>
          </cell>
        </row>
      </sheetData>
      <sheetData sheetId="22">
        <row r="124">
          <cell r="C124">
            <v>0</v>
          </cell>
          <cell r="G124">
            <v>0</v>
          </cell>
          <cell r="O124">
            <v>0</v>
          </cell>
          <cell r="S124">
            <v>1938.8899999999999</v>
          </cell>
          <cell r="W124">
            <v>0</v>
          </cell>
          <cell r="AA124">
            <v>55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2351.58</v>
          </cell>
          <cell r="W128">
            <v>0</v>
          </cell>
          <cell r="AA128">
            <v>87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25334.3</v>
          </cell>
          <cell r="W129">
            <v>0</v>
          </cell>
          <cell r="AA129">
            <v>787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16973.39</v>
          </cell>
          <cell r="W130">
            <v>0</v>
          </cell>
          <cell r="AA130">
            <v>0</v>
          </cell>
        </row>
      </sheetData>
      <sheetData sheetId="23">
        <row r="124">
          <cell r="C124">
            <v>0</v>
          </cell>
          <cell r="G124">
            <v>0</v>
          </cell>
          <cell r="O124">
            <v>0</v>
          </cell>
          <cell r="S124">
            <v>438.26</v>
          </cell>
          <cell r="W124">
            <v>0</v>
          </cell>
          <cell r="AA124">
            <v>11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655.99999999999989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3243.2299999999996</v>
          </cell>
          <cell r="W129">
            <v>0</v>
          </cell>
          <cell r="AA129">
            <v>141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2713.97</v>
          </cell>
          <cell r="W130">
            <v>0</v>
          </cell>
          <cell r="AA130">
            <v>0</v>
          </cell>
        </row>
      </sheetData>
      <sheetData sheetId="24">
        <row r="124">
          <cell r="G124">
            <v>0</v>
          </cell>
          <cell r="O124">
            <v>0</v>
          </cell>
          <cell r="S124">
            <v>589.53</v>
          </cell>
          <cell r="W124">
            <v>0</v>
          </cell>
          <cell r="AA124">
            <v>7</v>
          </cell>
          <cell r="AG124">
            <v>0</v>
          </cell>
        </row>
        <row r="128">
          <cell r="G128">
            <v>0</v>
          </cell>
          <cell r="O128">
            <v>0</v>
          </cell>
          <cell r="S128">
            <v>1213.0099999999998</v>
          </cell>
          <cell r="W128">
            <v>0</v>
          </cell>
          <cell r="AA128">
            <v>45</v>
          </cell>
        </row>
        <row r="129">
          <cell r="G129">
            <v>0</v>
          </cell>
          <cell r="O129">
            <v>0</v>
          </cell>
          <cell r="S129">
            <v>11930.91</v>
          </cell>
          <cell r="W129">
            <v>0</v>
          </cell>
          <cell r="AA129">
            <v>414</v>
          </cell>
        </row>
        <row r="130">
          <cell r="G130">
            <v>0</v>
          </cell>
          <cell r="O130">
            <v>0</v>
          </cell>
          <cell r="S130">
            <v>6845.2099999999991</v>
          </cell>
          <cell r="W130">
            <v>0</v>
          </cell>
          <cell r="AA130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Б"/>
      <sheetName val="СОЛИГ"/>
      <sheetName val="МАК"/>
      <sheetName val="МАНТ"/>
      <sheetName val="ШАР"/>
      <sheetName val="СтомШ"/>
      <sheetName val="УзШ"/>
      <sheetName val="РОЖД"/>
      <sheetName val="ПОНАЗ"/>
      <sheetName val="ВОЛГ"/>
      <sheetName val="ОСТР"/>
      <sheetName val="КАРД"/>
      <sheetName val="ОБЛАСТ"/>
      <sheetName val="ФГУ"/>
      <sheetName val="АЗИМУТ"/>
      <sheetName val="цпс"/>
      <sheetName val="ИК"/>
      <sheetName val="смп"/>
      <sheetName val="ОНКО"/>
      <sheetName val="КОЖВЕН"/>
      <sheetName val="Сумма"/>
      <sheetName val="вп"/>
      <sheetName val="воп"/>
      <sheetName val="волп"/>
      <sheetName val="волшп"/>
      <sheetName val="во"/>
      <sheetName val="вог"/>
    </sheetNames>
    <sheetDataSet>
      <sheetData sheetId="0">
        <row r="124">
          <cell r="C124">
            <v>0</v>
          </cell>
          <cell r="G124">
            <v>0</v>
          </cell>
          <cell r="O124">
            <v>512</v>
          </cell>
          <cell r="S124">
            <v>3434.7599999999998</v>
          </cell>
          <cell r="W124">
            <v>0</v>
          </cell>
          <cell r="AA124">
            <v>729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2784</v>
          </cell>
          <cell r="S128">
            <v>7267.5700000000006</v>
          </cell>
          <cell r="W128">
            <v>0</v>
          </cell>
          <cell r="AA128">
            <v>1406</v>
          </cell>
        </row>
        <row r="129">
          <cell r="C129">
            <v>0</v>
          </cell>
          <cell r="G129">
            <v>0</v>
          </cell>
          <cell r="O129">
            <v>17</v>
          </cell>
          <cell r="S129">
            <v>202.20999999999998</v>
          </cell>
          <cell r="W129">
            <v>0</v>
          </cell>
          <cell r="AA129">
            <v>37</v>
          </cell>
        </row>
        <row r="130">
          <cell r="C130">
            <v>0</v>
          </cell>
          <cell r="G130">
            <v>0</v>
          </cell>
          <cell r="O130">
            <v>1717</v>
          </cell>
          <cell r="S130">
            <v>4780.42</v>
          </cell>
          <cell r="W130">
            <v>0</v>
          </cell>
          <cell r="AA130">
            <v>754</v>
          </cell>
        </row>
      </sheetData>
      <sheetData sheetId="1">
        <row r="124">
          <cell r="C124">
            <v>36</v>
          </cell>
          <cell r="G124">
            <v>51</v>
          </cell>
          <cell r="O124">
            <v>0</v>
          </cell>
          <cell r="S124">
            <v>584.19000000000005</v>
          </cell>
          <cell r="W124">
            <v>36</v>
          </cell>
          <cell r="AA124">
            <v>148</v>
          </cell>
          <cell r="AG124">
            <v>125</v>
          </cell>
        </row>
        <row r="128">
          <cell r="C128">
            <v>20</v>
          </cell>
          <cell r="G128">
            <v>14</v>
          </cell>
          <cell r="O128">
            <v>21</v>
          </cell>
          <cell r="S128">
            <v>200.06</v>
          </cell>
          <cell r="W128">
            <v>19</v>
          </cell>
          <cell r="AA128">
            <v>31</v>
          </cell>
        </row>
        <row r="129">
          <cell r="C129">
            <v>1648</v>
          </cell>
          <cell r="G129">
            <v>1263</v>
          </cell>
          <cell r="O129">
            <v>2417</v>
          </cell>
          <cell r="S129">
            <v>21898.750000000004</v>
          </cell>
          <cell r="W129">
            <v>1017</v>
          </cell>
          <cell r="AA129">
            <v>4437</v>
          </cell>
        </row>
        <row r="130">
          <cell r="C130">
            <v>973</v>
          </cell>
          <cell r="G130">
            <v>810</v>
          </cell>
          <cell r="O130">
            <v>1159</v>
          </cell>
          <cell r="S130">
            <v>12492.099999999999</v>
          </cell>
          <cell r="W130">
            <v>533</v>
          </cell>
          <cell r="AA130">
            <v>1696</v>
          </cell>
        </row>
      </sheetData>
      <sheetData sheetId="2">
        <row r="124">
          <cell r="C124">
            <v>84</v>
          </cell>
          <cell r="G124">
            <v>27</v>
          </cell>
          <cell r="O124">
            <v>38</v>
          </cell>
          <cell r="S124">
            <v>361.17</v>
          </cell>
          <cell r="W124">
            <v>0</v>
          </cell>
          <cell r="AA124">
            <v>172</v>
          </cell>
          <cell r="AG124">
            <v>198</v>
          </cell>
        </row>
        <row r="128">
          <cell r="C128">
            <v>717</v>
          </cell>
          <cell r="G128">
            <v>335</v>
          </cell>
          <cell r="O128">
            <v>1117</v>
          </cell>
          <cell r="S128">
            <v>8022.74</v>
          </cell>
          <cell r="W128">
            <v>35</v>
          </cell>
          <cell r="AA128">
            <v>2180</v>
          </cell>
        </row>
        <row r="129">
          <cell r="C129">
            <v>4664</v>
          </cell>
          <cell r="G129">
            <v>2152</v>
          </cell>
          <cell r="O129">
            <v>4314</v>
          </cell>
          <cell r="S129">
            <v>22738.39</v>
          </cell>
          <cell r="W129">
            <v>404</v>
          </cell>
          <cell r="AA129">
            <v>8391</v>
          </cell>
        </row>
        <row r="130">
          <cell r="C130">
            <v>3966</v>
          </cell>
          <cell r="G130">
            <v>2097</v>
          </cell>
          <cell r="O130">
            <v>3854</v>
          </cell>
          <cell r="S130">
            <v>28693.33</v>
          </cell>
          <cell r="W130">
            <v>409</v>
          </cell>
          <cell r="AA130">
            <v>8531</v>
          </cell>
        </row>
      </sheetData>
      <sheetData sheetId="3">
        <row r="124">
          <cell r="C124">
            <v>639</v>
          </cell>
          <cell r="G124">
            <v>81</v>
          </cell>
          <cell r="O124">
            <v>13</v>
          </cell>
          <cell r="S124">
            <v>403.44</v>
          </cell>
          <cell r="W124">
            <v>3</v>
          </cell>
          <cell r="AA124">
            <v>184</v>
          </cell>
          <cell r="AG124">
            <v>159</v>
          </cell>
        </row>
        <row r="128">
          <cell r="C128">
            <v>3316</v>
          </cell>
          <cell r="G128">
            <v>120</v>
          </cell>
          <cell r="O128">
            <v>293</v>
          </cell>
          <cell r="S128">
            <v>3604.11</v>
          </cell>
          <cell r="W128">
            <v>10</v>
          </cell>
          <cell r="AA128">
            <v>685</v>
          </cell>
        </row>
        <row r="129">
          <cell r="C129">
            <v>20942</v>
          </cell>
          <cell r="G129">
            <v>3583</v>
          </cell>
          <cell r="O129">
            <v>5819</v>
          </cell>
          <cell r="S129">
            <v>55802.94</v>
          </cell>
          <cell r="W129">
            <v>975</v>
          </cell>
          <cell r="AA129">
            <v>9146</v>
          </cell>
        </row>
        <row r="130">
          <cell r="C130">
            <v>14920</v>
          </cell>
          <cell r="G130">
            <v>2822</v>
          </cell>
          <cell r="O130">
            <v>2907</v>
          </cell>
          <cell r="S130">
            <v>35524.04</v>
          </cell>
          <cell r="W130">
            <v>712</v>
          </cell>
          <cell r="AA130">
            <v>5733</v>
          </cell>
        </row>
      </sheetData>
      <sheetData sheetId="4">
        <row r="124">
          <cell r="C124">
            <v>2360</v>
          </cell>
          <cell r="G124">
            <v>18</v>
          </cell>
          <cell r="K124">
            <v>0</v>
          </cell>
          <cell r="O124">
            <v>24</v>
          </cell>
          <cell r="S124">
            <v>2287.7200000000003</v>
          </cell>
          <cell r="W124">
            <v>0</v>
          </cell>
          <cell r="AA124">
            <v>246</v>
          </cell>
          <cell r="AG124">
            <v>262</v>
          </cell>
        </row>
        <row r="128">
          <cell r="C128">
            <v>2996</v>
          </cell>
          <cell r="G128">
            <v>257</v>
          </cell>
          <cell r="K128">
            <v>16</v>
          </cell>
          <cell r="O128">
            <v>495</v>
          </cell>
          <cell r="S128">
            <v>5577.08</v>
          </cell>
          <cell r="W128">
            <v>29</v>
          </cell>
          <cell r="AA128">
            <v>484</v>
          </cell>
        </row>
        <row r="129">
          <cell r="C129">
            <v>49408</v>
          </cell>
          <cell r="G129">
            <v>6375</v>
          </cell>
          <cell r="K129">
            <v>57</v>
          </cell>
          <cell r="O129">
            <v>5916</v>
          </cell>
          <cell r="S129">
            <v>134879.88</v>
          </cell>
          <cell r="W129">
            <v>875</v>
          </cell>
          <cell r="AA129">
            <v>15190.99</v>
          </cell>
        </row>
        <row r="130">
          <cell r="C130">
            <v>38170</v>
          </cell>
          <cell r="G130">
            <v>5175</v>
          </cell>
          <cell r="K130">
            <v>252</v>
          </cell>
          <cell r="O130">
            <v>3914</v>
          </cell>
          <cell r="S130">
            <v>112655.95999999999</v>
          </cell>
          <cell r="W130">
            <v>1036</v>
          </cell>
          <cell r="AA130">
            <v>10355</v>
          </cell>
        </row>
      </sheetData>
      <sheetData sheetId="5"/>
      <sheetData sheetId="6">
        <row r="124">
          <cell r="C124">
            <v>0</v>
          </cell>
          <cell r="G124">
            <v>0</v>
          </cell>
          <cell r="O124">
            <v>152</v>
          </cell>
          <cell r="S124">
            <v>1973.85</v>
          </cell>
          <cell r="W124">
            <v>0</v>
          </cell>
          <cell r="AA124">
            <v>303.24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282</v>
          </cell>
          <cell r="S128">
            <v>1676.5799999999997</v>
          </cell>
          <cell r="W128">
            <v>12</v>
          </cell>
          <cell r="AA128">
            <v>243</v>
          </cell>
        </row>
        <row r="129">
          <cell r="C129">
            <v>0</v>
          </cell>
          <cell r="G129">
            <v>0</v>
          </cell>
          <cell r="O129">
            <v>1305</v>
          </cell>
          <cell r="S129">
            <v>6218.5599999999995</v>
          </cell>
          <cell r="W129">
            <v>0</v>
          </cell>
          <cell r="AA129">
            <v>1161</v>
          </cell>
        </row>
        <row r="130">
          <cell r="C130">
            <v>0</v>
          </cell>
          <cell r="G130">
            <v>0</v>
          </cell>
          <cell r="O130">
            <v>1366</v>
          </cell>
          <cell r="S130">
            <v>4550.16</v>
          </cell>
          <cell r="W130">
            <v>0</v>
          </cell>
          <cell r="AA130">
            <v>807</v>
          </cell>
        </row>
      </sheetData>
      <sheetData sheetId="7">
        <row r="124">
          <cell r="C124">
            <v>12</v>
          </cell>
          <cell r="G124">
            <v>9</v>
          </cell>
          <cell r="O124">
            <v>75</v>
          </cell>
          <cell r="S124">
            <v>262.25</v>
          </cell>
          <cell r="W124">
            <v>19</v>
          </cell>
          <cell r="AA124">
            <v>59</v>
          </cell>
          <cell r="AG124">
            <v>50</v>
          </cell>
        </row>
        <row r="128">
          <cell r="C128">
            <v>19</v>
          </cell>
          <cell r="G128">
            <v>19</v>
          </cell>
          <cell r="O128">
            <v>200</v>
          </cell>
          <cell r="S128">
            <v>651.83000000000004</v>
          </cell>
          <cell r="W128">
            <v>45</v>
          </cell>
          <cell r="AA128">
            <v>127</v>
          </cell>
        </row>
        <row r="129">
          <cell r="C129">
            <v>1643</v>
          </cell>
          <cell r="G129">
            <v>535</v>
          </cell>
          <cell r="O129">
            <v>5573</v>
          </cell>
          <cell r="S129">
            <v>20150.41</v>
          </cell>
          <cell r="W129">
            <v>1561</v>
          </cell>
          <cell r="AA129">
            <v>4283</v>
          </cell>
        </row>
        <row r="130">
          <cell r="C130">
            <v>1325</v>
          </cell>
          <cell r="G130">
            <v>429</v>
          </cell>
          <cell r="O130">
            <v>3515</v>
          </cell>
          <cell r="S130">
            <v>12660.749999999998</v>
          </cell>
          <cell r="W130">
            <v>742</v>
          </cell>
          <cell r="AA130">
            <v>2317</v>
          </cell>
        </row>
      </sheetData>
      <sheetData sheetId="8">
        <row r="124">
          <cell r="C124">
            <v>55</v>
          </cell>
          <cell r="G124">
            <v>4</v>
          </cell>
          <cell r="O124">
            <v>18</v>
          </cell>
          <cell r="S124">
            <v>401.2</v>
          </cell>
          <cell r="W124">
            <v>6</v>
          </cell>
          <cell r="AA124">
            <v>30.58</v>
          </cell>
          <cell r="AG124">
            <v>87</v>
          </cell>
        </row>
        <row r="128">
          <cell r="C128">
            <v>12</v>
          </cell>
          <cell r="G128">
            <v>12</v>
          </cell>
          <cell r="O128">
            <v>74</v>
          </cell>
          <cell r="S128">
            <v>159.25</v>
          </cell>
          <cell r="W128">
            <v>9</v>
          </cell>
          <cell r="AA128">
            <v>14</v>
          </cell>
        </row>
        <row r="129">
          <cell r="C129">
            <v>1098</v>
          </cell>
          <cell r="G129">
            <v>943</v>
          </cell>
          <cell r="O129">
            <v>1781</v>
          </cell>
          <cell r="S129">
            <v>10845.380000000001</v>
          </cell>
          <cell r="W129">
            <v>334</v>
          </cell>
          <cell r="AA129">
            <v>2058</v>
          </cell>
        </row>
        <row r="130">
          <cell r="C130">
            <v>1873</v>
          </cell>
          <cell r="G130">
            <v>1317</v>
          </cell>
          <cell r="O130">
            <v>2804</v>
          </cell>
          <cell r="S130">
            <v>19790.7</v>
          </cell>
          <cell r="W130">
            <v>743</v>
          </cell>
          <cell r="AA130">
            <v>2875</v>
          </cell>
        </row>
      </sheetData>
      <sheetData sheetId="9">
        <row r="124">
          <cell r="C124">
            <v>2012</v>
          </cell>
          <cell r="G124">
            <v>158</v>
          </cell>
          <cell r="O124">
            <v>177</v>
          </cell>
          <cell r="S124">
            <v>2528.41</v>
          </cell>
          <cell r="W124">
            <v>20</v>
          </cell>
          <cell r="AA124">
            <v>952</v>
          </cell>
          <cell r="AG124">
            <v>226</v>
          </cell>
        </row>
        <row r="128">
          <cell r="C128">
            <v>10967</v>
          </cell>
          <cell r="G128">
            <v>1706</v>
          </cell>
          <cell r="O128">
            <v>4376</v>
          </cell>
          <cell r="S128">
            <v>35505.730000000003</v>
          </cell>
          <cell r="W128">
            <v>334</v>
          </cell>
          <cell r="AA128">
            <v>12592</v>
          </cell>
        </row>
        <row r="129">
          <cell r="C129">
            <v>494</v>
          </cell>
          <cell r="G129">
            <v>49</v>
          </cell>
          <cell r="O129">
            <v>59</v>
          </cell>
          <cell r="S129">
            <v>653.19000000000017</v>
          </cell>
          <cell r="W129">
            <v>4</v>
          </cell>
          <cell r="AA129">
            <v>248</v>
          </cell>
        </row>
        <row r="130">
          <cell r="C130">
            <v>13109</v>
          </cell>
          <cell r="G130">
            <v>3103</v>
          </cell>
          <cell r="O130">
            <v>4373</v>
          </cell>
          <cell r="S130">
            <v>44267.380000000005</v>
          </cell>
          <cell r="W130">
            <v>788</v>
          </cell>
          <cell r="AA130">
            <v>12364</v>
          </cell>
        </row>
      </sheetData>
      <sheetData sheetId="10">
        <row r="124">
          <cell r="C124">
            <v>26</v>
          </cell>
          <cell r="G124">
            <v>5</v>
          </cell>
          <cell r="O124">
            <v>12</v>
          </cell>
          <cell r="S124">
            <v>87.56</v>
          </cell>
          <cell r="W124">
            <v>1</v>
          </cell>
          <cell r="AA124">
            <v>13</v>
          </cell>
          <cell r="AG124">
            <v>200</v>
          </cell>
        </row>
        <row r="128">
          <cell r="C128">
            <v>1907</v>
          </cell>
          <cell r="G128">
            <v>435</v>
          </cell>
          <cell r="O128">
            <v>796</v>
          </cell>
          <cell r="S128">
            <v>17261.68</v>
          </cell>
          <cell r="W128">
            <v>264</v>
          </cell>
          <cell r="AA128">
            <v>3519</v>
          </cell>
        </row>
        <row r="129">
          <cell r="C129">
            <v>161</v>
          </cell>
          <cell r="G129">
            <v>76</v>
          </cell>
          <cell r="O129">
            <v>39</v>
          </cell>
          <cell r="S129">
            <v>784.33999999999992</v>
          </cell>
          <cell r="W129">
            <v>33</v>
          </cell>
          <cell r="AA129">
            <v>128</v>
          </cell>
        </row>
        <row r="130">
          <cell r="C130">
            <v>3215</v>
          </cell>
          <cell r="G130">
            <v>2327</v>
          </cell>
          <cell r="O130">
            <v>2312</v>
          </cell>
          <cell r="S130">
            <v>32659.329999999998</v>
          </cell>
          <cell r="W130">
            <v>1309</v>
          </cell>
          <cell r="AA130">
            <v>5775</v>
          </cell>
        </row>
      </sheetData>
      <sheetData sheetId="11">
        <row r="124">
          <cell r="C124">
            <v>604</v>
          </cell>
          <cell r="G124">
            <v>0</v>
          </cell>
          <cell r="K124">
            <v>0</v>
          </cell>
          <cell r="O124">
            <v>172</v>
          </cell>
          <cell r="S124">
            <v>338</v>
          </cell>
          <cell r="W124">
            <v>0</v>
          </cell>
          <cell r="AA124">
            <v>51</v>
          </cell>
          <cell r="AG124">
            <v>0</v>
          </cell>
        </row>
        <row r="128">
          <cell r="C128">
            <v>7740</v>
          </cell>
          <cell r="G128">
            <v>0</v>
          </cell>
          <cell r="K128">
            <v>0</v>
          </cell>
          <cell r="O128">
            <v>5074</v>
          </cell>
          <cell r="S128">
            <v>7824</v>
          </cell>
          <cell r="W128">
            <v>0</v>
          </cell>
          <cell r="AA128">
            <v>369</v>
          </cell>
        </row>
        <row r="129">
          <cell r="C129">
            <v>8843</v>
          </cell>
          <cell r="G129">
            <v>0</v>
          </cell>
          <cell r="O129">
            <v>3191</v>
          </cell>
          <cell r="S129">
            <v>5906</v>
          </cell>
          <cell r="W129">
            <v>0</v>
          </cell>
          <cell r="AA129">
            <v>190</v>
          </cell>
        </row>
        <row r="130">
          <cell r="C130">
            <v>15795</v>
          </cell>
          <cell r="G130">
            <v>0</v>
          </cell>
          <cell r="K130">
            <v>0</v>
          </cell>
          <cell r="O130">
            <v>7920</v>
          </cell>
          <cell r="S130">
            <v>11612</v>
          </cell>
          <cell r="W130">
            <v>0</v>
          </cell>
          <cell r="AA130">
            <v>527</v>
          </cell>
        </row>
      </sheetData>
      <sheetData sheetId="12">
        <row r="124">
          <cell r="C124">
            <v>4193</v>
          </cell>
          <cell r="G124">
            <v>0</v>
          </cell>
          <cell r="K124">
            <v>0</v>
          </cell>
          <cell r="O124">
            <v>0</v>
          </cell>
          <cell r="S124">
            <v>1068.6099999999999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50535</v>
          </cell>
          <cell r="G128">
            <v>0</v>
          </cell>
          <cell r="K128">
            <v>0</v>
          </cell>
          <cell r="O128">
            <v>0</v>
          </cell>
          <cell r="S128">
            <v>25699.699999999997</v>
          </cell>
          <cell r="W128">
            <v>0</v>
          </cell>
          <cell r="AA128">
            <v>0</v>
          </cell>
        </row>
        <row r="129">
          <cell r="C129">
            <v>52362</v>
          </cell>
          <cell r="G129">
            <v>0</v>
          </cell>
          <cell r="O129">
            <v>0</v>
          </cell>
          <cell r="S129">
            <v>18952.219999999998</v>
          </cell>
          <cell r="W129">
            <v>0</v>
          </cell>
          <cell r="AA129">
            <v>0</v>
          </cell>
        </row>
        <row r="130">
          <cell r="C130">
            <v>70009</v>
          </cell>
          <cell r="G130">
            <v>0</v>
          </cell>
          <cell r="K130">
            <v>0</v>
          </cell>
          <cell r="O130">
            <v>0</v>
          </cell>
          <cell r="S130">
            <v>30415.01</v>
          </cell>
          <cell r="W130">
            <v>0</v>
          </cell>
          <cell r="AA130">
            <v>0</v>
          </cell>
        </row>
      </sheetData>
      <sheetData sheetId="13">
        <row r="124">
          <cell r="C124">
            <v>0</v>
          </cell>
          <cell r="G124">
            <v>0</v>
          </cell>
          <cell r="O124">
            <v>0</v>
          </cell>
          <cell r="S124">
            <v>0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0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0</v>
          </cell>
          <cell r="W129">
            <v>0</v>
          </cell>
          <cell r="AA129">
            <v>0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0</v>
          </cell>
          <cell r="W130">
            <v>0</v>
          </cell>
          <cell r="AA130">
            <v>0</v>
          </cell>
        </row>
      </sheetData>
      <sheetData sheetId="14">
        <row r="124">
          <cell r="C124">
            <v>0</v>
          </cell>
          <cell r="G124">
            <v>0</v>
          </cell>
          <cell r="O124">
            <v>0</v>
          </cell>
          <cell r="S124">
            <v>0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0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0</v>
          </cell>
          <cell r="W129">
            <v>0</v>
          </cell>
          <cell r="AA129">
            <v>0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0</v>
          </cell>
          <cell r="W130">
            <v>0</v>
          </cell>
          <cell r="AA130">
            <v>0</v>
          </cell>
        </row>
      </sheetData>
      <sheetData sheetId="15">
        <row r="124">
          <cell r="C124">
            <v>0</v>
          </cell>
          <cell r="G124">
            <v>0</v>
          </cell>
          <cell r="O124">
            <v>0</v>
          </cell>
          <cell r="S124">
            <v>0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1498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692</v>
          </cell>
          <cell r="W129">
            <v>0</v>
          </cell>
          <cell r="AA129">
            <v>0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1007</v>
          </cell>
          <cell r="W130">
            <v>0</v>
          </cell>
          <cell r="AA130">
            <v>0</v>
          </cell>
        </row>
      </sheetData>
      <sheetData sheetId="16">
        <row r="124">
          <cell r="C124">
            <v>0</v>
          </cell>
          <cell r="G124">
            <v>0</v>
          </cell>
          <cell r="O124">
            <v>0</v>
          </cell>
          <cell r="S124">
            <v>0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0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0</v>
          </cell>
          <cell r="W129">
            <v>0</v>
          </cell>
          <cell r="AA129">
            <v>0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0</v>
          </cell>
          <cell r="W130">
            <v>0</v>
          </cell>
          <cell r="AA130">
            <v>0</v>
          </cell>
        </row>
      </sheetData>
      <sheetData sheetId="17">
        <row r="124">
          <cell r="C124">
            <v>0</v>
          </cell>
          <cell r="G124">
            <v>0</v>
          </cell>
          <cell r="K124">
            <v>0</v>
          </cell>
          <cell r="O124">
            <v>0</v>
          </cell>
          <cell r="S124">
            <v>0</v>
          </cell>
          <cell r="W124">
            <v>0</v>
          </cell>
          <cell r="AA124">
            <v>0</v>
          </cell>
          <cell r="AG124">
            <v>23147</v>
          </cell>
        </row>
        <row r="128">
          <cell r="C128">
            <v>0</v>
          </cell>
          <cell r="G128">
            <v>15786</v>
          </cell>
          <cell r="K128">
            <v>0</v>
          </cell>
          <cell r="O128">
            <v>0</v>
          </cell>
          <cell r="S128">
            <v>0</v>
          </cell>
          <cell r="W128">
            <v>0</v>
          </cell>
          <cell r="AA128">
            <v>0</v>
          </cell>
        </row>
        <row r="129">
          <cell r="C129">
            <v>0</v>
          </cell>
          <cell r="G129">
            <v>14840</v>
          </cell>
          <cell r="O129">
            <v>0</v>
          </cell>
          <cell r="S129">
            <v>0</v>
          </cell>
          <cell r="W129">
            <v>0</v>
          </cell>
          <cell r="AA129">
            <v>0</v>
          </cell>
        </row>
        <row r="130">
          <cell r="C130">
            <v>0</v>
          </cell>
          <cell r="G130">
            <v>32541</v>
          </cell>
          <cell r="K130">
            <v>0</v>
          </cell>
          <cell r="O130">
            <v>0</v>
          </cell>
          <cell r="S130">
            <v>0</v>
          </cell>
          <cell r="W130">
            <v>0</v>
          </cell>
          <cell r="AA130">
            <v>0</v>
          </cell>
        </row>
      </sheetData>
      <sheetData sheetId="18">
        <row r="124">
          <cell r="C124">
            <v>361</v>
          </cell>
          <cell r="G124">
            <v>0</v>
          </cell>
          <cell r="K124">
            <v>0</v>
          </cell>
          <cell r="O124">
            <v>297</v>
          </cell>
          <cell r="S124">
            <v>468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10257</v>
          </cell>
          <cell r="G128">
            <v>0</v>
          </cell>
          <cell r="K128">
            <v>0</v>
          </cell>
          <cell r="O128">
            <v>4801</v>
          </cell>
          <cell r="S128">
            <v>12640</v>
          </cell>
          <cell r="W128">
            <v>0</v>
          </cell>
          <cell r="AA128">
            <v>81</v>
          </cell>
        </row>
        <row r="129">
          <cell r="C129">
            <v>12678</v>
          </cell>
          <cell r="G129">
            <v>0</v>
          </cell>
          <cell r="O129">
            <v>3675</v>
          </cell>
          <cell r="S129">
            <v>11584</v>
          </cell>
          <cell r="W129">
            <v>0</v>
          </cell>
          <cell r="AA129">
            <v>70</v>
          </cell>
        </row>
        <row r="130">
          <cell r="C130">
            <v>14740</v>
          </cell>
          <cell r="G130">
            <v>0</v>
          </cell>
          <cell r="K130">
            <v>0</v>
          </cell>
          <cell r="O130">
            <v>6173</v>
          </cell>
          <cell r="S130">
            <v>18146</v>
          </cell>
          <cell r="W130">
            <v>0</v>
          </cell>
          <cell r="AA130">
            <v>57</v>
          </cell>
        </row>
      </sheetData>
      <sheetData sheetId="19">
        <row r="124">
          <cell r="C124">
            <v>54</v>
          </cell>
          <cell r="G124">
            <v>0</v>
          </cell>
          <cell r="K124">
            <v>0</v>
          </cell>
          <cell r="O124">
            <v>34</v>
          </cell>
          <cell r="S124">
            <v>188</v>
          </cell>
          <cell r="W124">
            <v>0</v>
          </cell>
          <cell r="AA124">
            <v>136</v>
          </cell>
          <cell r="AG124">
            <v>0</v>
          </cell>
        </row>
        <row r="128">
          <cell r="C128">
            <v>2024</v>
          </cell>
          <cell r="G128">
            <v>0</v>
          </cell>
          <cell r="K128">
            <v>0</v>
          </cell>
          <cell r="O128">
            <v>3108</v>
          </cell>
          <cell r="S128">
            <v>10586</v>
          </cell>
          <cell r="W128">
            <v>0</v>
          </cell>
          <cell r="AA128">
            <v>2546</v>
          </cell>
        </row>
        <row r="129">
          <cell r="C129">
            <v>1644</v>
          </cell>
          <cell r="G129">
            <v>0</v>
          </cell>
          <cell r="O129">
            <v>1794</v>
          </cell>
          <cell r="S129">
            <v>10100</v>
          </cell>
          <cell r="W129">
            <v>0</v>
          </cell>
          <cell r="AA129">
            <v>2219</v>
          </cell>
        </row>
        <row r="130">
          <cell r="C130">
            <v>2924</v>
          </cell>
          <cell r="G130">
            <v>0</v>
          </cell>
          <cell r="K130">
            <v>0</v>
          </cell>
          <cell r="O130">
            <v>3182</v>
          </cell>
          <cell r="S130">
            <v>42023</v>
          </cell>
          <cell r="W130">
            <v>0</v>
          </cell>
          <cell r="AA130">
            <v>4061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л"/>
      <sheetName val="суд"/>
      <sheetName val="красное"/>
      <sheetName val="чухлом"/>
      <sheetName val="ЦЕНТР"/>
      <sheetName val="вохма"/>
      <sheetName val="богов"/>
      <sheetName val="роддом"/>
      <sheetName val="муз2 "/>
      <sheetName val="межа"/>
      <sheetName val="увд"/>
      <sheetName val="полик4"/>
      <sheetName val="стомНер"/>
      <sheetName val="нерехта"/>
      <sheetName val="кадый"/>
      <sheetName val="орех"/>
      <sheetName val="детск"/>
      <sheetName val="Сумма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0">
        <row r="124">
          <cell r="C124">
            <v>762</v>
          </cell>
          <cell r="G124">
            <v>115</v>
          </cell>
          <cell r="K124">
            <v>0</v>
          </cell>
          <cell r="O124">
            <v>32</v>
          </cell>
          <cell r="S124">
            <v>2000.87</v>
          </cell>
          <cell r="W124">
            <v>134</v>
          </cell>
          <cell r="AA124">
            <v>615</v>
          </cell>
          <cell r="AG124">
            <v>447</v>
          </cell>
        </row>
        <row r="128">
          <cell r="C128">
            <v>1408</v>
          </cell>
          <cell r="G128">
            <v>141</v>
          </cell>
          <cell r="K128">
            <v>0</v>
          </cell>
          <cell r="O128">
            <v>237</v>
          </cell>
          <cell r="S128">
            <v>3529.3600000000006</v>
          </cell>
          <cell r="W128">
            <v>150</v>
          </cell>
          <cell r="AA128">
            <v>788</v>
          </cell>
        </row>
        <row r="129">
          <cell r="C129">
            <v>39286</v>
          </cell>
          <cell r="G129">
            <v>4857</v>
          </cell>
          <cell r="K129">
            <v>327</v>
          </cell>
          <cell r="O129">
            <v>5006</v>
          </cell>
          <cell r="S129">
            <v>105421.87</v>
          </cell>
          <cell r="W129">
            <v>4484</v>
          </cell>
          <cell r="AA129">
            <v>22784</v>
          </cell>
        </row>
        <row r="130">
          <cell r="C130">
            <v>12345</v>
          </cell>
          <cell r="G130">
            <v>1888</v>
          </cell>
          <cell r="K130">
            <v>152</v>
          </cell>
          <cell r="O130">
            <v>812</v>
          </cell>
          <cell r="S130">
            <v>26443.940000000002</v>
          </cell>
          <cell r="W130">
            <v>1856</v>
          </cell>
          <cell r="AA130">
            <v>4901</v>
          </cell>
        </row>
      </sheetData>
      <sheetData sheetId="1">
        <row r="124">
          <cell r="C124">
            <v>10</v>
          </cell>
          <cell r="G124">
            <v>15</v>
          </cell>
          <cell r="O124">
            <v>23</v>
          </cell>
          <cell r="S124">
            <v>307.13</v>
          </cell>
          <cell r="W124">
            <v>1</v>
          </cell>
          <cell r="AA124">
            <v>68</v>
          </cell>
          <cell r="AG124">
            <v>139</v>
          </cell>
        </row>
        <row r="128">
          <cell r="C128">
            <v>1516</v>
          </cell>
          <cell r="G128">
            <v>1282</v>
          </cell>
          <cell r="O128">
            <v>3376</v>
          </cell>
          <cell r="S128">
            <v>30312.89</v>
          </cell>
          <cell r="W128">
            <v>85</v>
          </cell>
          <cell r="AA128">
            <v>5950</v>
          </cell>
        </row>
        <row r="129">
          <cell r="C129">
            <v>20</v>
          </cell>
          <cell r="G129">
            <v>60</v>
          </cell>
          <cell r="O129">
            <v>77</v>
          </cell>
          <cell r="S129">
            <v>1225.44</v>
          </cell>
          <cell r="W129">
            <v>1</v>
          </cell>
          <cell r="AA129">
            <v>257</v>
          </cell>
        </row>
        <row r="130">
          <cell r="C130">
            <v>2106</v>
          </cell>
          <cell r="G130">
            <v>2097</v>
          </cell>
          <cell r="O130">
            <v>3157</v>
          </cell>
          <cell r="S130">
            <v>27351.629999999997</v>
          </cell>
          <cell r="W130">
            <v>153</v>
          </cell>
          <cell r="AA130">
            <v>4284</v>
          </cell>
        </row>
      </sheetData>
      <sheetData sheetId="2">
        <row r="124">
          <cell r="C124">
            <v>14</v>
          </cell>
          <cell r="G124">
            <v>47</v>
          </cell>
          <cell r="O124">
            <v>15</v>
          </cell>
          <cell r="S124">
            <v>151.76999999999998</v>
          </cell>
          <cell r="W124">
            <v>10</v>
          </cell>
          <cell r="AA124">
            <v>123</v>
          </cell>
          <cell r="AG124">
            <v>332</v>
          </cell>
        </row>
        <row r="128">
          <cell r="C128">
            <v>133</v>
          </cell>
          <cell r="G128">
            <v>131</v>
          </cell>
          <cell r="O128">
            <v>129</v>
          </cell>
          <cell r="S128">
            <v>4473.2000000000007</v>
          </cell>
          <cell r="W128">
            <v>60</v>
          </cell>
          <cell r="AA128">
            <v>1028</v>
          </cell>
        </row>
        <row r="129">
          <cell r="C129">
            <v>843</v>
          </cell>
          <cell r="G129">
            <v>1713</v>
          </cell>
          <cell r="O129">
            <v>1710</v>
          </cell>
          <cell r="S129">
            <v>20707.420000000002</v>
          </cell>
          <cell r="W129">
            <v>773</v>
          </cell>
          <cell r="AA129">
            <v>9751</v>
          </cell>
        </row>
        <row r="130">
          <cell r="C130">
            <v>1541</v>
          </cell>
          <cell r="G130">
            <v>2669</v>
          </cell>
          <cell r="O130">
            <v>3473</v>
          </cell>
          <cell r="S130">
            <v>33931.409999999996</v>
          </cell>
          <cell r="W130">
            <v>909</v>
          </cell>
          <cell r="AA130">
            <v>9529</v>
          </cell>
        </row>
      </sheetData>
      <sheetData sheetId="3">
        <row r="124">
          <cell r="C124">
            <v>85</v>
          </cell>
          <cell r="G124">
            <v>3</v>
          </cell>
          <cell r="O124">
            <v>-10</v>
          </cell>
          <cell r="S124">
            <v>42.650000000000006</v>
          </cell>
          <cell r="W124">
            <v>0</v>
          </cell>
          <cell r="AA124">
            <v>10</v>
          </cell>
          <cell r="AG124">
            <v>42</v>
          </cell>
        </row>
        <row r="128">
          <cell r="C128">
            <v>105</v>
          </cell>
          <cell r="G128">
            <v>38</v>
          </cell>
          <cell r="O128">
            <v>8</v>
          </cell>
          <cell r="S128">
            <v>576.87</v>
          </cell>
          <cell r="W128">
            <v>11</v>
          </cell>
          <cell r="AA128">
            <v>93</v>
          </cell>
        </row>
        <row r="129">
          <cell r="C129">
            <v>3309</v>
          </cell>
          <cell r="G129">
            <v>1079</v>
          </cell>
          <cell r="O129">
            <v>437</v>
          </cell>
          <cell r="S129">
            <v>26653.84</v>
          </cell>
          <cell r="W129">
            <v>611</v>
          </cell>
          <cell r="AA129">
            <v>5083</v>
          </cell>
        </row>
        <row r="130">
          <cell r="C130">
            <v>2535</v>
          </cell>
          <cell r="G130">
            <v>1292</v>
          </cell>
          <cell r="O130">
            <v>493</v>
          </cell>
          <cell r="S130">
            <v>26252.399999999998</v>
          </cell>
          <cell r="W130">
            <v>462</v>
          </cell>
          <cell r="AA130">
            <v>3135</v>
          </cell>
        </row>
      </sheetData>
      <sheetData sheetId="4">
        <row r="124">
          <cell r="C124">
            <v>0</v>
          </cell>
          <cell r="G124">
            <v>0</v>
          </cell>
          <cell r="O124">
            <v>0</v>
          </cell>
          <cell r="S124">
            <v>104.99999999999999</v>
          </cell>
          <cell r="W124">
            <v>0</v>
          </cell>
          <cell r="AA124">
            <v>39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4374.4400000000005</v>
          </cell>
          <cell r="W128">
            <v>0</v>
          </cell>
          <cell r="AA128">
            <v>349</v>
          </cell>
        </row>
        <row r="129">
          <cell r="G129">
            <v>0</v>
          </cell>
          <cell r="O129">
            <v>0</v>
          </cell>
          <cell r="S129">
            <v>2683.6000000000004</v>
          </cell>
          <cell r="W129">
            <v>0</v>
          </cell>
          <cell r="AA129">
            <v>220</v>
          </cell>
        </row>
        <row r="130">
          <cell r="G130">
            <v>0</v>
          </cell>
          <cell r="O130">
            <v>0</v>
          </cell>
          <cell r="S130">
            <v>2531.58</v>
          </cell>
          <cell r="W130">
            <v>0</v>
          </cell>
          <cell r="AA130">
            <v>0</v>
          </cell>
        </row>
      </sheetData>
      <sheetData sheetId="5">
        <row r="124">
          <cell r="C124">
            <v>276</v>
          </cell>
          <cell r="G124">
            <v>32</v>
          </cell>
          <cell r="O124">
            <v>78</v>
          </cell>
          <cell r="S124">
            <v>462.26999999999992</v>
          </cell>
          <cell r="W124">
            <v>1</v>
          </cell>
          <cell r="AA124">
            <v>148</v>
          </cell>
          <cell r="AG124">
            <v>101</v>
          </cell>
        </row>
        <row r="128">
          <cell r="C128">
            <v>98</v>
          </cell>
          <cell r="G128">
            <v>14</v>
          </cell>
          <cell r="O128">
            <v>104</v>
          </cell>
          <cell r="S128">
            <v>292.65999999999997</v>
          </cell>
          <cell r="W128">
            <v>0</v>
          </cell>
          <cell r="AA128">
            <v>79</v>
          </cell>
        </row>
        <row r="129">
          <cell r="C129">
            <v>3273</v>
          </cell>
          <cell r="G129">
            <v>752</v>
          </cell>
          <cell r="O129">
            <v>2389</v>
          </cell>
          <cell r="S129">
            <v>9232.880000000001</v>
          </cell>
          <cell r="W129">
            <v>210</v>
          </cell>
          <cell r="AA129">
            <v>2073</v>
          </cell>
        </row>
        <row r="130">
          <cell r="C130">
            <v>8640</v>
          </cell>
          <cell r="G130">
            <v>1859</v>
          </cell>
          <cell r="O130">
            <v>5080</v>
          </cell>
          <cell r="S130">
            <v>24643.57</v>
          </cell>
          <cell r="W130">
            <v>469</v>
          </cell>
          <cell r="AA130">
            <v>4535</v>
          </cell>
        </row>
      </sheetData>
      <sheetData sheetId="6">
        <row r="124">
          <cell r="C124">
            <v>27</v>
          </cell>
          <cell r="G124">
            <v>30</v>
          </cell>
          <cell r="O124">
            <v>59</v>
          </cell>
          <cell r="S124">
            <v>408.61999999999995</v>
          </cell>
          <cell r="W124">
            <v>8</v>
          </cell>
          <cell r="AA124">
            <v>59</v>
          </cell>
          <cell r="AG124">
            <v>54</v>
          </cell>
        </row>
        <row r="128">
          <cell r="C128">
            <v>0</v>
          </cell>
          <cell r="G128">
            <v>18</v>
          </cell>
          <cell r="O128">
            <v>32</v>
          </cell>
          <cell r="S128">
            <v>1000.1800000000001</v>
          </cell>
          <cell r="W128">
            <v>16</v>
          </cell>
          <cell r="AA128">
            <v>58</v>
          </cell>
        </row>
        <row r="129">
          <cell r="C129">
            <v>2119</v>
          </cell>
          <cell r="G129">
            <v>1026</v>
          </cell>
          <cell r="O129">
            <v>4479</v>
          </cell>
          <cell r="S129">
            <v>29954.230000000007</v>
          </cell>
          <cell r="W129">
            <v>974</v>
          </cell>
          <cell r="AA129">
            <v>4358</v>
          </cell>
        </row>
        <row r="130">
          <cell r="C130">
            <v>282</v>
          </cell>
          <cell r="G130">
            <v>210</v>
          </cell>
          <cell r="O130">
            <v>647</v>
          </cell>
          <cell r="S130">
            <v>8047.119999999999</v>
          </cell>
          <cell r="W130">
            <v>302</v>
          </cell>
          <cell r="AA130">
            <v>724</v>
          </cell>
        </row>
      </sheetData>
      <sheetData sheetId="7">
        <row r="124">
          <cell r="C124">
            <v>734</v>
          </cell>
          <cell r="G124">
            <v>0</v>
          </cell>
          <cell r="O124">
            <v>89</v>
          </cell>
          <cell r="S124">
            <v>719.85</v>
          </cell>
          <cell r="W124">
            <v>0</v>
          </cell>
          <cell r="AA124">
            <v>0</v>
          </cell>
          <cell r="AG124">
            <v>0</v>
          </cell>
        </row>
        <row r="128">
          <cell r="C128">
            <v>14127</v>
          </cell>
          <cell r="G128">
            <v>0</v>
          </cell>
          <cell r="O128">
            <v>2379</v>
          </cell>
          <cell r="S128">
            <v>23189.17</v>
          </cell>
          <cell r="W128">
            <v>0</v>
          </cell>
          <cell r="AA128">
            <v>0</v>
          </cell>
        </row>
        <row r="129">
          <cell r="C129">
            <v>10931</v>
          </cell>
          <cell r="G129">
            <v>0</v>
          </cell>
          <cell r="O129">
            <v>1397</v>
          </cell>
          <cell r="S129">
            <v>14690.62</v>
          </cell>
          <cell r="W129">
            <v>0</v>
          </cell>
          <cell r="AA129">
            <v>0</v>
          </cell>
        </row>
        <row r="130">
          <cell r="C130">
            <v>11084</v>
          </cell>
          <cell r="G130">
            <v>0</v>
          </cell>
          <cell r="O130">
            <v>1492</v>
          </cell>
          <cell r="S130">
            <v>15857.35</v>
          </cell>
          <cell r="W130">
            <v>0</v>
          </cell>
          <cell r="AA130">
            <v>0</v>
          </cell>
        </row>
      </sheetData>
      <sheetData sheetId="8">
        <row r="124">
          <cell r="C124">
            <v>2713</v>
          </cell>
          <cell r="G124">
            <v>0</v>
          </cell>
          <cell r="O124">
            <v>97</v>
          </cell>
          <cell r="S124">
            <v>1289</v>
          </cell>
          <cell r="W124">
            <v>52</v>
          </cell>
          <cell r="AA124">
            <v>513</v>
          </cell>
          <cell r="AG124">
            <v>0</v>
          </cell>
        </row>
        <row r="128">
          <cell r="C128">
            <v>55861</v>
          </cell>
          <cell r="G128">
            <v>0</v>
          </cell>
          <cell r="O128">
            <v>10991</v>
          </cell>
          <cell r="S128">
            <v>69250.14</v>
          </cell>
          <cell r="W128">
            <v>2276</v>
          </cell>
          <cell r="AA128">
            <v>21658</v>
          </cell>
        </row>
        <row r="129">
          <cell r="C129">
            <v>37717</v>
          </cell>
          <cell r="G129">
            <v>0</v>
          </cell>
          <cell r="O129">
            <v>5537</v>
          </cell>
          <cell r="S129">
            <v>36913.89</v>
          </cell>
          <cell r="W129">
            <v>1051</v>
          </cell>
          <cell r="AA129">
            <v>12841</v>
          </cell>
        </row>
        <row r="130">
          <cell r="C130">
            <v>99408</v>
          </cell>
          <cell r="G130">
            <v>0</v>
          </cell>
          <cell r="O130">
            <v>14432</v>
          </cell>
          <cell r="S130">
            <v>166958.83000000002</v>
          </cell>
          <cell r="W130">
            <v>4260</v>
          </cell>
          <cell r="AA130">
            <v>40444</v>
          </cell>
        </row>
      </sheetData>
      <sheetData sheetId="9">
        <row r="124">
          <cell r="C124">
            <v>6</v>
          </cell>
          <cell r="G124">
            <v>20</v>
          </cell>
          <cell r="O124">
            <v>42</v>
          </cell>
          <cell r="S124">
            <v>93.9</v>
          </cell>
          <cell r="W124">
            <v>13</v>
          </cell>
          <cell r="AA124">
            <v>67</v>
          </cell>
          <cell r="AG124">
            <v>121</v>
          </cell>
        </row>
        <row r="128">
          <cell r="C128">
            <v>560</v>
          </cell>
          <cell r="G128">
            <v>523</v>
          </cell>
          <cell r="O128">
            <v>1540</v>
          </cell>
          <cell r="S128">
            <v>6628.52</v>
          </cell>
          <cell r="W128">
            <v>362</v>
          </cell>
          <cell r="AA128">
            <v>2467</v>
          </cell>
        </row>
        <row r="129">
          <cell r="C129">
            <v>6</v>
          </cell>
          <cell r="G129">
            <v>20</v>
          </cell>
          <cell r="O129">
            <v>0</v>
          </cell>
          <cell r="S129">
            <v>158.72000000000003</v>
          </cell>
          <cell r="W129">
            <v>3</v>
          </cell>
          <cell r="AA129">
            <v>28</v>
          </cell>
        </row>
        <row r="130">
          <cell r="C130">
            <v>1581</v>
          </cell>
          <cell r="G130">
            <v>780</v>
          </cell>
          <cell r="O130">
            <v>2633</v>
          </cell>
          <cell r="S130">
            <v>13516.060000000001</v>
          </cell>
          <cell r="W130">
            <v>493</v>
          </cell>
          <cell r="AA130">
            <v>3300</v>
          </cell>
        </row>
      </sheetData>
      <sheetData sheetId="10">
        <row r="124">
          <cell r="C124">
            <v>0</v>
          </cell>
          <cell r="O124">
            <v>0</v>
          </cell>
          <cell r="S124">
            <v>0</v>
          </cell>
          <cell r="W124">
            <v>0</v>
          </cell>
          <cell r="AA124">
            <v>0</v>
          </cell>
        </row>
        <row r="128">
          <cell r="C128">
            <v>832</v>
          </cell>
          <cell r="G128">
            <v>0</v>
          </cell>
          <cell r="O128">
            <v>420</v>
          </cell>
          <cell r="S128">
            <v>1148.99</v>
          </cell>
          <cell r="W128">
            <v>0</v>
          </cell>
          <cell r="AA128">
            <v>258</v>
          </cell>
        </row>
        <row r="129">
          <cell r="C129">
            <v>460</v>
          </cell>
          <cell r="G129">
            <v>0</v>
          </cell>
          <cell r="O129">
            <v>156</v>
          </cell>
          <cell r="S129">
            <v>545.70000000000005</v>
          </cell>
          <cell r="W129">
            <v>0</v>
          </cell>
          <cell r="AA129">
            <v>148</v>
          </cell>
        </row>
        <row r="130">
          <cell r="C130">
            <v>1405</v>
          </cell>
          <cell r="G130">
            <v>0</v>
          </cell>
          <cell r="O130">
            <v>337</v>
          </cell>
          <cell r="S130">
            <v>1276.1100000000001</v>
          </cell>
          <cell r="W130">
            <v>0</v>
          </cell>
          <cell r="AA130">
            <v>192</v>
          </cell>
        </row>
      </sheetData>
      <sheetData sheetId="11">
        <row r="124">
          <cell r="G124">
            <v>0</v>
          </cell>
          <cell r="O124">
            <v>77</v>
          </cell>
          <cell r="S124">
            <v>873</v>
          </cell>
          <cell r="W124">
            <v>63</v>
          </cell>
          <cell r="AA124">
            <v>198</v>
          </cell>
          <cell r="AG124">
            <v>0</v>
          </cell>
        </row>
        <row r="128">
          <cell r="G128">
            <v>0</v>
          </cell>
          <cell r="O128">
            <v>3480</v>
          </cell>
          <cell r="S128">
            <v>28584</v>
          </cell>
          <cell r="W128">
            <v>2279</v>
          </cell>
          <cell r="AA128">
            <v>7305</v>
          </cell>
        </row>
        <row r="129">
          <cell r="C129">
            <v>0</v>
          </cell>
          <cell r="G129">
            <v>0</v>
          </cell>
          <cell r="O129">
            <v>7726</v>
          </cell>
          <cell r="S129">
            <v>42403</v>
          </cell>
          <cell r="W129">
            <v>3657</v>
          </cell>
          <cell r="AA129">
            <v>11697</v>
          </cell>
        </row>
        <row r="130">
          <cell r="C130">
            <v>0</v>
          </cell>
          <cell r="G130">
            <v>0</v>
          </cell>
          <cell r="O130">
            <v>3359</v>
          </cell>
          <cell r="S130">
            <v>28763</v>
          </cell>
          <cell r="W130">
            <v>2333</v>
          </cell>
          <cell r="AA130">
            <v>6074</v>
          </cell>
        </row>
      </sheetData>
      <sheetData sheetId="12">
        <row r="124">
          <cell r="C124">
            <v>0</v>
          </cell>
          <cell r="G124">
            <v>0</v>
          </cell>
          <cell r="O124">
            <v>0</v>
          </cell>
          <cell r="S124">
            <v>2677.44</v>
          </cell>
          <cell r="W124">
            <v>0</v>
          </cell>
          <cell r="AA124">
            <v>354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0</v>
          </cell>
          <cell r="S128">
            <v>26449.480000000003</v>
          </cell>
          <cell r="W128">
            <v>0</v>
          </cell>
          <cell r="AA128">
            <v>2570</v>
          </cell>
        </row>
        <row r="129">
          <cell r="C129">
            <v>0</v>
          </cell>
          <cell r="G129">
            <v>0</v>
          </cell>
          <cell r="O129">
            <v>0</v>
          </cell>
          <cell r="S129">
            <v>626.46999999999991</v>
          </cell>
          <cell r="W129">
            <v>0</v>
          </cell>
          <cell r="AA129">
            <v>49</v>
          </cell>
        </row>
        <row r="130">
          <cell r="C130">
            <v>0</v>
          </cell>
          <cell r="G130">
            <v>0</v>
          </cell>
          <cell r="O130">
            <v>0</v>
          </cell>
          <cell r="S130">
            <v>10770.170000000002</v>
          </cell>
          <cell r="W130">
            <v>0</v>
          </cell>
          <cell r="AA130">
            <v>0</v>
          </cell>
        </row>
      </sheetData>
      <sheetData sheetId="13">
        <row r="124">
          <cell r="C124">
            <v>1690</v>
          </cell>
          <cell r="G124">
            <v>242</v>
          </cell>
          <cell r="O124">
            <v>533</v>
          </cell>
          <cell r="S124">
            <v>3534.3400000000006</v>
          </cell>
          <cell r="W124">
            <v>174</v>
          </cell>
          <cell r="AA124">
            <v>1560</v>
          </cell>
          <cell r="AG124">
            <v>1229</v>
          </cell>
        </row>
        <row r="128">
          <cell r="C128">
            <v>25327</v>
          </cell>
          <cell r="G128">
            <v>4733</v>
          </cell>
          <cell r="O128">
            <v>12488</v>
          </cell>
          <cell r="S128">
            <v>78575.02</v>
          </cell>
          <cell r="W128">
            <v>5553</v>
          </cell>
          <cell r="AA128">
            <v>30408</v>
          </cell>
        </row>
        <row r="129">
          <cell r="C129">
            <v>592</v>
          </cell>
          <cell r="G129">
            <v>163</v>
          </cell>
          <cell r="O129">
            <v>276</v>
          </cell>
          <cell r="S129">
            <v>1280.6200000000001</v>
          </cell>
          <cell r="W129">
            <v>59</v>
          </cell>
          <cell r="AA129">
            <v>519</v>
          </cell>
        </row>
        <row r="130">
          <cell r="C130">
            <v>12167</v>
          </cell>
          <cell r="G130">
            <v>3764</v>
          </cell>
          <cell r="O130">
            <v>5620</v>
          </cell>
          <cell r="S130">
            <v>35980.769999999997</v>
          </cell>
          <cell r="W130">
            <v>4130</v>
          </cell>
          <cell r="AA130">
            <v>14375</v>
          </cell>
        </row>
      </sheetData>
      <sheetData sheetId="14">
        <row r="124">
          <cell r="C124">
            <v>45</v>
          </cell>
          <cell r="G124">
            <v>16</v>
          </cell>
          <cell r="O124">
            <v>40</v>
          </cell>
          <cell r="S124">
            <v>183.80999999999997</v>
          </cell>
          <cell r="W124">
            <v>26</v>
          </cell>
          <cell r="AA124">
            <v>74</v>
          </cell>
          <cell r="AG124">
            <v>222</v>
          </cell>
        </row>
        <row r="128">
          <cell r="C128">
            <v>153</v>
          </cell>
          <cell r="G128">
            <v>59</v>
          </cell>
          <cell r="O128">
            <v>313</v>
          </cell>
          <cell r="S128">
            <v>1416.7299999999998</v>
          </cell>
          <cell r="W128">
            <v>118</v>
          </cell>
          <cell r="AA128">
            <v>432</v>
          </cell>
        </row>
        <row r="129">
          <cell r="C129">
            <v>2912</v>
          </cell>
          <cell r="G129">
            <v>1052</v>
          </cell>
          <cell r="O129">
            <v>2581</v>
          </cell>
          <cell r="S129">
            <v>16135.32</v>
          </cell>
          <cell r="W129">
            <v>1344</v>
          </cell>
          <cell r="AA129">
            <v>4974</v>
          </cell>
        </row>
        <row r="130">
          <cell r="C130">
            <v>1095</v>
          </cell>
          <cell r="G130">
            <v>669</v>
          </cell>
          <cell r="O130">
            <v>1295</v>
          </cell>
          <cell r="S130">
            <v>6794.0600000000013</v>
          </cell>
          <cell r="W130">
            <v>548</v>
          </cell>
          <cell r="AA130">
            <v>1868</v>
          </cell>
        </row>
      </sheetData>
      <sheetData sheetId="15">
        <row r="124">
          <cell r="C124">
            <v>17</v>
          </cell>
          <cell r="G124">
            <v>0</v>
          </cell>
          <cell r="O124">
            <v>149</v>
          </cell>
          <cell r="S124">
            <v>319.47000000000003</v>
          </cell>
          <cell r="W124">
            <v>4</v>
          </cell>
          <cell r="AA124">
            <v>221</v>
          </cell>
          <cell r="AG124">
            <v>0</v>
          </cell>
        </row>
        <row r="128">
          <cell r="C128">
            <v>0</v>
          </cell>
          <cell r="G128">
            <v>0</v>
          </cell>
          <cell r="O128">
            <v>90</v>
          </cell>
          <cell r="S128">
            <v>373.06</v>
          </cell>
          <cell r="W128">
            <v>2</v>
          </cell>
          <cell r="AA128">
            <v>60</v>
          </cell>
        </row>
        <row r="129">
          <cell r="C129">
            <v>453</v>
          </cell>
          <cell r="G129">
            <v>0</v>
          </cell>
          <cell r="O129">
            <v>3483</v>
          </cell>
          <cell r="S129">
            <v>8200.58</v>
          </cell>
          <cell r="W129">
            <v>53</v>
          </cell>
          <cell r="AA129">
            <v>2800</v>
          </cell>
        </row>
        <row r="130">
          <cell r="C130">
            <v>82</v>
          </cell>
          <cell r="G130">
            <v>0</v>
          </cell>
          <cell r="O130">
            <v>381</v>
          </cell>
          <cell r="S130">
            <v>824.46</v>
          </cell>
          <cell r="W130">
            <v>11</v>
          </cell>
          <cell r="AA130">
            <v>281</v>
          </cell>
        </row>
      </sheetData>
      <sheetData sheetId="16">
        <row r="124">
          <cell r="C124">
            <v>709</v>
          </cell>
          <cell r="G124">
            <v>0</v>
          </cell>
          <cell r="O124">
            <v>0</v>
          </cell>
          <cell r="S124">
            <v>419</v>
          </cell>
          <cell r="W124">
            <v>3</v>
          </cell>
          <cell r="AA124">
            <v>54</v>
          </cell>
          <cell r="AG124">
            <v>0</v>
          </cell>
        </row>
        <row r="128">
          <cell r="C128">
            <v>12179</v>
          </cell>
          <cell r="G128">
            <v>0</v>
          </cell>
          <cell r="O128">
            <v>0</v>
          </cell>
          <cell r="S128">
            <v>13976</v>
          </cell>
          <cell r="W128">
            <v>543</v>
          </cell>
          <cell r="AA128">
            <v>2045</v>
          </cell>
        </row>
        <row r="129">
          <cell r="C129">
            <v>14431</v>
          </cell>
          <cell r="G129">
            <v>0</v>
          </cell>
          <cell r="O129">
            <v>0</v>
          </cell>
          <cell r="S129">
            <v>22806</v>
          </cell>
          <cell r="W129">
            <v>185</v>
          </cell>
          <cell r="AA129">
            <v>4260</v>
          </cell>
        </row>
        <row r="130">
          <cell r="C130">
            <v>29980</v>
          </cell>
          <cell r="G130">
            <v>0</v>
          </cell>
          <cell r="O130">
            <v>0</v>
          </cell>
          <cell r="S130">
            <v>40535</v>
          </cell>
          <cell r="W130">
            <v>651</v>
          </cell>
          <cell r="AA130">
            <v>6623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workbookViewId="0">
      <pane xSplit="1" ySplit="2" topLeftCell="B3" activePane="bottomRight" state="frozen"/>
      <selection activeCell="W2" sqref="W2"/>
      <selection pane="topRight" activeCell="W2" sqref="W2"/>
      <selection pane="bottomLeft" activeCell="W2" sqref="W2"/>
      <selection pane="bottomRight" activeCell="J18" sqref="J18"/>
    </sheetView>
  </sheetViews>
  <sheetFormatPr defaultRowHeight="12.75" x14ac:dyDescent="0.2"/>
  <cols>
    <col min="1" max="1" width="12.28515625" customWidth="1"/>
    <col min="3" max="3" width="10.42578125" customWidth="1"/>
    <col min="4" max="5" width="11.28515625" customWidth="1"/>
    <col min="7" max="7" width="11" bestFit="1" customWidth="1"/>
    <col min="8" max="8" width="9.5703125" bestFit="1" customWidth="1"/>
    <col min="9" max="9" width="9.5703125" customWidth="1"/>
    <col min="12" max="12" width="10.85546875" customWidth="1"/>
  </cols>
  <sheetData>
    <row r="1" spans="1:25" x14ac:dyDescent="0.2">
      <c r="A1" s="2"/>
      <c r="B1" s="357" t="s">
        <v>0</v>
      </c>
      <c r="C1" s="358"/>
      <c r="D1" s="357"/>
      <c r="E1" s="114"/>
      <c r="F1" s="359" t="s">
        <v>1</v>
      </c>
      <c r="G1" s="358"/>
      <c r="H1" s="358"/>
      <c r="I1" s="20"/>
      <c r="J1" s="19"/>
      <c r="K1" s="24" t="s">
        <v>2</v>
      </c>
      <c r="L1" s="25"/>
      <c r="N1" s="19"/>
      <c r="O1" s="24" t="s">
        <v>192</v>
      </c>
      <c r="P1" s="25"/>
      <c r="S1" t="s">
        <v>193</v>
      </c>
      <c r="W1" t="s">
        <v>188</v>
      </c>
    </row>
    <row r="2" spans="1:25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60" t="s">
        <v>25</v>
      </c>
      <c r="H2" s="357"/>
      <c r="I2" s="361"/>
      <c r="J2" s="5" t="s">
        <v>6</v>
      </c>
      <c r="K2" s="360" t="s">
        <v>25</v>
      </c>
      <c r="L2" s="357"/>
      <c r="M2" s="361"/>
      <c r="N2" s="5" t="s">
        <v>6</v>
      </c>
      <c r="O2" s="360" t="s">
        <v>25</v>
      </c>
      <c r="P2" s="357"/>
      <c r="Q2" s="361"/>
      <c r="R2" s="5" t="s">
        <v>6</v>
      </c>
      <c r="S2" s="360" t="s">
        <v>25</v>
      </c>
      <c r="T2" s="357"/>
      <c r="U2" s="361"/>
      <c r="V2" s="5" t="s">
        <v>6</v>
      </c>
      <c r="W2" s="360" t="s">
        <v>25</v>
      </c>
      <c r="X2" s="357"/>
      <c r="Y2" s="361"/>
    </row>
    <row r="3" spans="1:25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7"/>
      <c r="O3" s="17" t="s">
        <v>27</v>
      </c>
      <c r="P3" s="15" t="s">
        <v>26</v>
      </c>
      <c r="Q3" s="115" t="s">
        <v>105</v>
      </c>
      <c r="R3" s="7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</row>
    <row r="4" spans="1:25" x14ac:dyDescent="0.2">
      <c r="A4" s="1" t="s">
        <v>4</v>
      </c>
      <c r="B4" s="22">
        <v>3550</v>
      </c>
      <c r="C4" s="22"/>
      <c r="D4" s="22"/>
      <c r="E4" s="22"/>
      <c r="F4" s="22">
        <v>1558</v>
      </c>
      <c r="G4" s="22"/>
      <c r="H4" s="22"/>
      <c r="I4" s="22"/>
      <c r="J4" s="22">
        <v>3667</v>
      </c>
      <c r="K4" s="22"/>
      <c r="L4" s="22"/>
      <c r="M4" s="124"/>
      <c r="N4" s="22"/>
      <c r="O4" s="22"/>
      <c r="P4" s="22"/>
      <c r="Q4" s="124"/>
      <c r="R4" s="22"/>
      <c r="S4" s="22"/>
      <c r="T4" s="22"/>
      <c r="U4" s="124"/>
      <c r="V4" s="22"/>
      <c r="W4" s="22"/>
      <c r="X4" s="22"/>
      <c r="Y4" s="124"/>
    </row>
    <row r="5" spans="1:25" x14ac:dyDescent="0.2">
      <c r="A5" s="1" t="s">
        <v>7</v>
      </c>
      <c r="B5" s="22">
        <v>3550</v>
      </c>
      <c r="C5" s="22"/>
      <c r="D5" s="22"/>
      <c r="E5" s="22"/>
      <c r="F5" s="22">
        <v>1558</v>
      </c>
      <c r="G5" s="22"/>
      <c r="H5" s="22"/>
      <c r="I5" s="22"/>
      <c r="J5" s="22">
        <v>3667</v>
      </c>
      <c r="K5" s="22"/>
      <c r="L5" s="22"/>
      <c r="M5" s="124"/>
      <c r="N5" s="22"/>
      <c r="O5" s="22"/>
      <c r="P5" s="22"/>
      <c r="Q5" s="124"/>
      <c r="R5" s="22"/>
      <c r="S5" s="22"/>
      <c r="T5" s="22"/>
      <c r="U5" s="124"/>
      <c r="V5" s="22"/>
      <c r="W5" s="22"/>
      <c r="X5" s="22"/>
      <c r="Y5" s="124"/>
    </row>
    <row r="6" spans="1:25" x14ac:dyDescent="0.2">
      <c r="A6" s="1" t="s">
        <v>8</v>
      </c>
      <c r="B6" s="22">
        <v>3550</v>
      </c>
      <c r="C6" s="22"/>
      <c r="D6" s="22"/>
      <c r="E6" s="22"/>
      <c r="F6" s="22">
        <v>1558</v>
      </c>
      <c r="G6" s="22"/>
      <c r="H6" s="22"/>
      <c r="I6" s="22"/>
      <c r="J6" s="22">
        <v>3667</v>
      </c>
      <c r="K6" s="22"/>
      <c r="L6" s="22"/>
      <c r="M6" s="124"/>
      <c r="N6" s="22"/>
      <c r="O6" s="22"/>
      <c r="P6" s="22"/>
      <c r="Q6" s="124"/>
      <c r="R6" s="22"/>
      <c r="S6" s="22"/>
      <c r="T6" s="22"/>
      <c r="U6" s="124"/>
      <c r="V6" s="22"/>
      <c r="W6" s="22"/>
      <c r="X6" s="22"/>
      <c r="Y6" s="124"/>
    </row>
    <row r="7" spans="1:25" x14ac:dyDescent="0.2">
      <c r="A7" s="1" t="s">
        <v>16</v>
      </c>
      <c r="B7" s="22">
        <v>3550</v>
      </c>
      <c r="C7" s="22"/>
      <c r="D7" s="22"/>
      <c r="E7" s="22"/>
      <c r="F7" s="22">
        <v>1558</v>
      </c>
      <c r="G7" s="22"/>
      <c r="H7" s="22"/>
      <c r="I7" s="22"/>
      <c r="J7" s="22">
        <v>3667</v>
      </c>
      <c r="K7" s="22"/>
      <c r="L7" s="22"/>
      <c r="M7" s="124"/>
      <c r="N7" s="22"/>
      <c r="O7" s="22"/>
      <c r="P7" s="22"/>
      <c r="Q7" s="124"/>
      <c r="R7" s="22"/>
      <c r="S7" s="22"/>
      <c r="T7" s="22"/>
      <c r="U7" s="124"/>
      <c r="V7" s="22"/>
      <c r="W7" s="22"/>
      <c r="X7" s="22"/>
      <c r="Y7" s="124"/>
    </row>
    <row r="8" spans="1:25" x14ac:dyDescent="0.2">
      <c r="A8" s="1" t="s">
        <v>17</v>
      </c>
      <c r="B8" s="22">
        <v>3550</v>
      </c>
      <c r="C8" s="22"/>
      <c r="D8" s="22"/>
      <c r="E8" s="22"/>
      <c r="F8" s="22">
        <v>1558</v>
      </c>
      <c r="G8" s="22"/>
      <c r="H8" s="22"/>
      <c r="I8" s="22"/>
      <c r="J8" s="22">
        <v>3667</v>
      </c>
      <c r="K8" s="22"/>
      <c r="L8" s="22"/>
      <c r="M8" s="124"/>
      <c r="N8" s="22"/>
      <c r="O8" s="22"/>
      <c r="P8" s="22"/>
      <c r="Q8" s="124"/>
      <c r="R8" s="22"/>
      <c r="S8" s="22"/>
      <c r="T8" s="22"/>
      <c r="U8" s="124"/>
      <c r="V8" s="22"/>
      <c r="W8" s="22"/>
      <c r="X8" s="22"/>
      <c r="Y8" s="124"/>
    </row>
    <row r="9" spans="1:25" x14ac:dyDescent="0.2">
      <c r="A9" s="1" t="s">
        <v>18</v>
      </c>
      <c r="B9" s="22">
        <v>3550</v>
      </c>
      <c r="C9" s="22"/>
      <c r="D9" s="22"/>
      <c r="E9" s="22"/>
      <c r="F9" s="22">
        <v>1558</v>
      </c>
      <c r="G9" s="22"/>
      <c r="H9" s="22"/>
      <c r="I9" s="22"/>
      <c r="J9" s="22">
        <v>3667</v>
      </c>
      <c r="K9" s="22"/>
      <c r="L9" s="22"/>
      <c r="M9" s="124"/>
      <c r="N9" s="22"/>
      <c r="O9" s="22"/>
      <c r="P9" s="22"/>
      <c r="Q9" s="124"/>
      <c r="R9" s="22"/>
      <c r="S9" s="22"/>
      <c r="T9" s="22"/>
      <c r="U9" s="124"/>
      <c r="V9" s="22"/>
      <c r="W9" s="22"/>
      <c r="X9" s="22"/>
      <c r="Y9" s="124"/>
    </row>
    <row r="10" spans="1:25" x14ac:dyDescent="0.2">
      <c r="A10" s="1" t="s">
        <v>19</v>
      </c>
      <c r="B10" s="22">
        <v>3550</v>
      </c>
      <c r="C10" s="22"/>
      <c r="D10" s="22"/>
      <c r="E10" s="22"/>
      <c r="F10" s="22">
        <v>1558</v>
      </c>
      <c r="G10" s="22"/>
      <c r="H10" s="22"/>
      <c r="I10" s="22"/>
      <c r="J10" s="22">
        <v>3667</v>
      </c>
      <c r="K10" s="22"/>
      <c r="L10" s="22"/>
      <c r="M10" s="124"/>
      <c r="N10" s="22"/>
      <c r="O10" s="22"/>
      <c r="P10" s="22"/>
      <c r="Q10" s="124"/>
      <c r="R10" s="22"/>
      <c r="S10" s="22"/>
      <c r="T10" s="22"/>
      <c r="U10" s="124"/>
      <c r="V10" s="22"/>
      <c r="W10" s="22"/>
      <c r="X10" s="22"/>
      <c r="Y10" s="124"/>
    </row>
    <row r="11" spans="1:25" x14ac:dyDescent="0.2">
      <c r="A11" s="1" t="s">
        <v>10</v>
      </c>
      <c r="B11" s="22">
        <v>3550</v>
      </c>
      <c r="C11" s="22"/>
      <c r="D11" s="22"/>
      <c r="E11" s="22"/>
      <c r="F11" s="22">
        <v>1558</v>
      </c>
      <c r="G11" s="22"/>
      <c r="H11" s="22"/>
      <c r="I11" s="22"/>
      <c r="J11" s="22">
        <v>3667</v>
      </c>
      <c r="K11" s="22"/>
      <c r="L11" s="22"/>
      <c r="M11" s="124"/>
      <c r="N11" s="22"/>
      <c r="O11" s="22"/>
      <c r="P11" s="22"/>
      <c r="Q11" s="124"/>
      <c r="R11" s="22"/>
      <c r="S11" s="22"/>
      <c r="T11" s="22"/>
      <c r="U11" s="124"/>
      <c r="V11" s="22"/>
      <c r="W11" s="22"/>
      <c r="X11" s="22"/>
      <c r="Y11" s="124"/>
    </row>
    <row r="12" spans="1:25" x14ac:dyDescent="0.2">
      <c r="A12" s="1" t="s">
        <v>11</v>
      </c>
      <c r="B12" s="22">
        <v>3550</v>
      </c>
      <c r="C12" s="22"/>
      <c r="D12" s="22"/>
      <c r="E12" s="22"/>
      <c r="F12" s="22">
        <v>1559</v>
      </c>
      <c r="G12" s="22"/>
      <c r="H12" s="22"/>
      <c r="I12" s="22"/>
      <c r="J12" s="22">
        <v>3666</v>
      </c>
      <c r="K12" s="22"/>
      <c r="L12" s="22"/>
      <c r="M12" s="124"/>
      <c r="N12" s="22"/>
      <c r="O12" s="22"/>
      <c r="P12" s="22"/>
      <c r="Q12" s="124"/>
      <c r="R12" s="22"/>
      <c r="S12" s="22"/>
      <c r="T12" s="22"/>
      <c r="U12" s="124"/>
      <c r="V12" s="22"/>
      <c r="W12" s="22"/>
      <c r="X12" s="22"/>
      <c r="Y12" s="124"/>
    </row>
    <row r="13" spans="1:25" x14ac:dyDescent="0.2">
      <c r="A13" s="1" t="s">
        <v>12</v>
      </c>
      <c r="B13" s="22">
        <v>3550</v>
      </c>
      <c r="C13" s="22"/>
      <c r="D13" s="22"/>
      <c r="E13" s="22"/>
      <c r="F13" s="22">
        <v>1559</v>
      </c>
      <c r="G13" s="22"/>
      <c r="H13" s="22"/>
      <c r="I13" s="22"/>
      <c r="J13" s="22">
        <v>3666</v>
      </c>
      <c r="K13" s="22"/>
      <c r="L13" s="22"/>
      <c r="M13" s="124"/>
      <c r="N13" s="22"/>
      <c r="O13" s="22"/>
      <c r="P13" s="22"/>
      <c r="Q13" s="124"/>
      <c r="R13" s="22"/>
      <c r="S13" s="22"/>
      <c r="T13" s="22"/>
      <c r="U13" s="124"/>
      <c r="V13" s="22"/>
      <c r="W13" s="22"/>
      <c r="X13" s="22"/>
      <c r="Y13" s="124"/>
    </row>
    <row r="14" spans="1:25" x14ac:dyDescent="0.2">
      <c r="A14" s="1" t="s">
        <v>13</v>
      </c>
      <c r="B14" s="22">
        <v>3550</v>
      </c>
      <c r="C14" s="22"/>
      <c r="D14" s="22"/>
      <c r="E14" s="22"/>
      <c r="F14" s="22">
        <v>1559</v>
      </c>
      <c r="G14" s="22"/>
      <c r="H14" s="22"/>
      <c r="I14" s="22"/>
      <c r="J14" s="22">
        <v>3666</v>
      </c>
      <c r="K14" s="22"/>
      <c r="L14" s="22"/>
      <c r="M14" s="124"/>
      <c r="N14" s="22"/>
      <c r="O14" s="22"/>
      <c r="P14" s="22"/>
      <c r="Q14" s="124"/>
      <c r="R14" s="22"/>
      <c r="S14" s="22"/>
      <c r="T14" s="22"/>
      <c r="U14" s="124"/>
      <c r="V14" s="22"/>
      <c r="W14" s="22"/>
      <c r="X14" s="22"/>
      <c r="Y14" s="124"/>
    </row>
    <row r="15" spans="1:25" x14ac:dyDescent="0.2">
      <c r="A15" s="1" t="s">
        <v>14</v>
      </c>
      <c r="B15" s="22">
        <v>3550</v>
      </c>
      <c r="C15" s="22"/>
      <c r="D15" s="22"/>
      <c r="E15" s="22"/>
      <c r="F15" s="22">
        <v>1559</v>
      </c>
      <c r="G15" s="22"/>
      <c r="H15" s="22"/>
      <c r="I15" s="22"/>
      <c r="J15" s="22">
        <v>3666</v>
      </c>
      <c r="K15" s="22"/>
      <c r="L15" s="22"/>
      <c r="M15" s="124"/>
      <c r="N15" s="22"/>
      <c r="O15" s="22"/>
      <c r="P15" s="22"/>
      <c r="Q15" s="124"/>
      <c r="R15" s="22"/>
      <c r="S15" s="22"/>
      <c r="T15" s="22"/>
      <c r="U15" s="124"/>
      <c r="V15" s="22"/>
      <c r="W15" s="22"/>
      <c r="X15" s="22"/>
      <c r="Y15" s="124"/>
    </row>
    <row r="16" spans="1:25" x14ac:dyDescent="0.2">
      <c r="A16" s="18" t="s">
        <v>6</v>
      </c>
      <c r="B16" s="23">
        <f>SUM(B4:B15)</f>
        <v>42600</v>
      </c>
      <c r="C16" s="23">
        <f t="shared" ref="C16:M16" si="0">SUM(C4:C15)</f>
        <v>0</v>
      </c>
      <c r="D16" s="23">
        <f t="shared" si="0"/>
        <v>0</v>
      </c>
      <c r="E16" s="23">
        <f t="shared" si="0"/>
        <v>0</v>
      </c>
      <c r="F16" s="23">
        <f t="shared" si="0"/>
        <v>18700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>SUM(J4:J15)</f>
        <v>44000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>
        <f t="shared" ref="N16:Y16" si="1">SUM(N4:N15)</f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</row>
    <row r="17" spans="1:25" x14ac:dyDescent="0.2">
      <c r="A17" s="28" t="s">
        <v>28</v>
      </c>
      <c r="B17" s="30">
        <f t="shared" ref="B17:L17" si="2">B4+B5</f>
        <v>7100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3116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7334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0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0</v>
      </c>
      <c r="W17" s="30">
        <f t="shared" si="3"/>
        <v>0</v>
      </c>
      <c r="X17" s="30">
        <f t="shared" si="3"/>
        <v>0</v>
      </c>
      <c r="Y17" s="30">
        <f t="shared" si="3"/>
        <v>0</v>
      </c>
    </row>
    <row r="18" spans="1:25" x14ac:dyDescent="0.2">
      <c r="A18" s="28" t="s">
        <v>9</v>
      </c>
      <c r="B18" s="30">
        <f t="shared" ref="B18:R27" si="4">B17+B6</f>
        <v>10650</v>
      </c>
      <c r="C18" s="30">
        <f t="shared" si="4"/>
        <v>0</v>
      </c>
      <c r="D18" s="30">
        <f t="shared" si="4"/>
        <v>0</v>
      </c>
      <c r="E18" s="30">
        <f t="shared" si="4"/>
        <v>0</v>
      </c>
      <c r="F18" s="30">
        <f t="shared" si="4"/>
        <v>4674</v>
      </c>
      <c r="G18" s="30">
        <f t="shared" si="4"/>
        <v>0</v>
      </c>
      <c r="H18" s="30">
        <f t="shared" si="4"/>
        <v>0</v>
      </c>
      <c r="I18" s="30">
        <f t="shared" si="4"/>
        <v>0</v>
      </c>
      <c r="J18" s="30">
        <f t="shared" si="4"/>
        <v>11001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4"/>
        <v>0</v>
      </c>
      <c r="O18" s="30">
        <f t="shared" si="4"/>
        <v>0</v>
      </c>
      <c r="P18" s="30">
        <f t="shared" si="4"/>
        <v>0</v>
      </c>
      <c r="Q18" s="30">
        <f t="shared" si="4"/>
        <v>0</v>
      </c>
      <c r="R18" s="30">
        <f t="shared" si="4"/>
        <v>0</v>
      </c>
      <c r="S18" s="30">
        <f t="shared" ref="S18:S27" si="5">S17+S6</f>
        <v>0</v>
      </c>
      <c r="T18" s="30">
        <f t="shared" ref="T18:T27" si="6">T17+T6</f>
        <v>0</v>
      </c>
      <c r="U18" s="30">
        <f t="shared" ref="U18:V27" si="7">U17+U6</f>
        <v>0</v>
      </c>
      <c r="V18" s="30">
        <f t="shared" si="7"/>
        <v>0</v>
      </c>
      <c r="W18" s="30">
        <f t="shared" ref="W18:W27" si="8">W17+W6</f>
        <v>0</v>
      </c>
      <c r="X18" s="30">
        <f t="shared" ref="X18:X27" si="9">X17+X6</f>
        <v>0</v>
      </c>
      <c r="Y18" s="30">
        <f t="shared" ref="Y18:Y27" si="10">Y17+Y6</f>
        <v>0</v>
      </c>
    </row>
    <row r="19" spans="1:25" x14ac:dyDescent="0.2">
      <c r="A19" s="28" t="s">
        <v>29</v>
      </c>
      <c r="B19" s="30">
        <f t="shared" si="4"/>
        <v>14200</v>
      </c>
      <c r="C19" s="30">
        <f t="shared" si="4"/>
        <v>0</v>
      </c>
      <c r="D19" s="30">
        <f t="shared" si="4"/>
        <v>0</v>
      </c>
      <c r="E19" s="30">
        <f t="shared" si="4"/>
        <v>0</v>
      </c>
      <c r="F19" s="30">
        <f t="shared" si="4"/>
        <v>6232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14668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  <c r="P19" s="30">
        <f t="shared" si="4"/>
        <v>0</v>
      </c>
      <c r="Q19" s="30">
        <f t="shared" si="4"/>
        <v>0</v>
      </c>
      <c r="R19" s="30">
        <f t="shared" si="4"/>
        <v>0</v>
      </c>
      <c r="S19" s="30">
        <f t="shared" si="5"/>
        <v>0</v>
      </c>
      <c r="T19" s="30">
        <f t="shared" si="6"/>
        <v>0</v>
      </c>
      <c r="U19" s="30">
        <f t="shared" si="7"/>
        <v>0</v>
      </c>
      <c r="V19" s="30">
        <f t="shared" si="7"/>
        <v>0</v>
      </c>
      <c r="W19" s="30">
        <f t="shared" si="8"/>
        <v>0</v>
      </c>
      <c r="X19" s="30">
        <f t="shared" si="9"/>
        <v>0</v>
      </c>
      <c r="Y19" s="30">
        <f t="shared" si="10"/>
        <v>0</v>
      </c>
    </row>
    <row r="20" spans="1:25" x14ac:dyDescent="0.2">
      <c r="A20" s="28" t="s">
        <v>30</v>
      </c>
      <c r="B20" s="30">
        <f t="shared" si="4"/>
        <v>17750</v>
      </c>
      <c r="C20" s="30">
        <f t="shared" si="4"/>
        <v>0</v>
      </c>
      <c r="D20" s="30">
        <f t="shared" si="4"/>
        <v>0</v>
      </c>
      <c r="E20" s="30">
        <f t="shared" si="4"/>
        <v>0</v>
      </c>
      <c r="F20" s="30">
        <f t="shared" si="4"/>
        <v>7790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18335</v>
      </c>
      <c r="K20" s="30">
        <f t="shared" si="4"/>
        <v>0</v>
      </c>
      <c r="L20" s="30">
        <f t="shared" si="4"/>
        <v>0</v>
      </c>
      <c r="M20" s="30">
        <f t="shared" si="4"/>
        <v>0</v>
      </c>
      <c r="N20" s="30">
        <f t="shared" si="4"/>
        <v>0</v>
      </c>
      <c r="O20" s="30">
        <f t="shared" si="4"/>
        <v>0</v>
      </c>
      <c r="P20" s="30">
        <f t="shared" si="4"/>
        <v>0</v>
      </c>
      <c r="Q20" s="30">
        <f t="shared" si="4"/>
        <v>0</v>
      </c>
      <c r="R20" s="30">
        <f t="shared" si="4"/>
        <v>0</v>
      </c>
      <c r="S20" s="30">
        <f t="shared" si="5"/>
        <v>0</v>
      </c>
      <c r="T20" s="30">
        <f t="shared" si="6"/>
        <v>0</v>
      </c>
      <c r="U20" s="30">
        <f t="shared" si="7"/>
        <v>0</v>
      </c>
      <c r="V20" s="30">
        <f t="shared" si="7"/>
        <v>0</v>
      </c>
      <c r="W20" s="30">
        <f t="shared" si="8"/>
        <v>0</v>
      </c>
      <c r="X20" s="30">
        <f t="shared" si="9"/>
        <v>0</v>
      </c>
      <c r="Y20" s="30">
        <f t="shared" si="10"/>
        <v>0</v>
      </c>
    </row>
    <row r="21" spans="1:25" x14ac:dyDescent="0.2">
      <c r="A21" s="28" t="s">
        <v>31</v>
      </c>
      <c r="B21" s="30">
        <f t="shared" si="4"/>
        <v>21300</v>
      </c>
      <c r="C21" s="30">
        <f t="shared" si="4"/>
        <v>0</v>
      </c>
      <c r="D21" s="30">
        <f t="shared" si="4"/>
        <v>0</v>
      </c>
      <c r="E21" s="30">
        <f t="shared" si="4"/>
        <v>0</v>
      </c>
      <c r="F21" s="30">
        <f t="shared" si="4"/>
        <v>9348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22002</v>
      </c>
      <c r="K21" s="30">
        <f t="shared" si="4"/>
        <v>0</v>
      </c>
      <c r="L21" s="30">
        <f t="shared" si="4"/>
        <v>0</v>
      </c>
      <c r="M21" s="30">
        <f t="shared" si="4"/>
        <v>0</v>
      </c>
      <c r="N21" s="30">
        <f t="shared" si="4"/>
        <v>0</v>
      </c>
      <c r="O21" s="30">
        <f t="shared" si="4"/>
        <v>0</v>
      </c>
      <c r="P21" s="30">
        <f t="shared" si="4"/>
        <v>0</v>
      </c>
      <c r="Q21" s="30">
        <f t="shared" si="4"/>
        <v>0</v>
      </c>
      <c r="R21" s="30">
        <f t="shared" si="4"/>
        <v>0</v>
      </c>
      <c r="S21" s="30">
        <f t="shared" si="5"/>
        <v>0</v>
      </c>
      <c r="T21" s="30">
        <f t="shared" si="6"/>
        <v>0</v>
      </c>
      <c r="U21" s="30">
        <f t="shared" si="7"/>
        <v>0</v>
      </c>
      <c r="V21" s="30">
        <f t="shared" si="7"/>
        <v>0</v>
      </c>
      <c r="W21" s="30">
        <f t="shared" si="8"/>
        <v>0</v>
      </c>
      <c r="X21" s="30">
        <f t="shared" si="9"/>
        <v>0</v>
      </c>
      <c r="Y21" s="30">
        <f t="shared" si="10"/>
        <v>0</v>
      </c>
    </row>
    <row r="22" spans="1:25" x14ac:dyDescent="0.2">
      <c r="A22" s="28" t="s">
        <v>32</v>
      </c>
      <c r="B22" s="30">
        <f t="shared" si="4"/>
        <v>24850</v>
      </c>
      <c r="C22" s="30">
        <f t="shared" si="4"/>
        <v>0</v>
      </c>
      <c r="D22" s="30">
        <f t="shared" si="4"/>
        <v>0</v>
      </c>
      <c r="E22" s="30">
        <f t="shared" si="4"/>
        <v>0</v>
      </c>
      <c r="F22" s="30">
        <f t="shared" si="4"/>
        <v>10906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25669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5"/>
        <v>0</v>
      </c>
      <c r="T22" s="30">
        <f t="shared" si="6"/>
        <v>0</v>
      </c>
      <c r="U22" s="30">
        <f t="shared" si="7"/>
        <v>0</v>
      </c>
      <c r="V22" s="30">
        <f t="shared" si="7"/>
        <v>0</v>
      </c>
      <c r="W22" s="30">
        <f t="shared" si="8"/>
        <v>0</v>
      </c>
      <c r="X22" s="30">
        <f t="shared" si="9"/>
        <v>0</v>
      </c>
      <c r="Y22" s="30">
        <f t="shared" si="10"/>
        <v>0</v>
      </c>
    </row>
    <row r="23" spans="1:25" x14ac:dyDescent="0.2">
      <c r="A23" s="28" t="s">
        <v>33</v>
      </c>
      <c r="B23" s="30">
        <f t="shared" si="4"/>
        <v>28400</v>
      </c>
      <c r="C23" s="30">
        <f t="shared" si="4"/>
        <v>0</v>
      </c>
      <c r="D23" s="30">
        <f t="shared" si="4"/>
        <v>0</v>
      </c>
      <c r="E23" s="30">
        <f t="shared" si="4"/>
        <v>0</v>
      </c>
      <c r="F23" s="30">
        <f t="shared" si="4"/>
        <v>12464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30">
        <f t="shared" si="4"/>
        <v>29336</v>
      </c>
      <c r="K23" s="30">
        <f t="shared" si="4"/>
        <v>0</v>
      </c>
      <c r="L23" s="30">
        <f t="shared" si="4"/>
        <v>0</v>
      </c>
      <c r="M23" s="30">
        <f t="shared" si="4"/>
        <v>0</v>
      </c>
      <c r="N23" s="30">
        <f t="shared" si="4"/>
        <v>0</v>
      </c>
      <c r="O23" s="30">
        <f t="shared" si="4"/>
        <v>0</v>
      </c>
      <c r="P23" s="30">
        <f t="shared" si="4"/>
        <v>0</v>
      </c>
      <c r="Q23" s="30">
        <f t="shared" si="4"/>
        <v>0</v>
      </c>
      <c r="R23" s="30">
        <f t="shared" si="4"/>
        <v>0</v>
      </c>
      <c r="S23" s="30">
        <f t="shared" si="5"/>
        <v>0</v>
      </c>
      <c r="T23" s="30">
        <f t="shared" si="6"/>
        <v>0</v>
      </c>
      <c r="U23" s="30">
        <f t="shared" si="7"/>
        <v>0</v>
      </c>
      <c r="V23" s="30">
        <f t="shared" si="7"/>
        <v>0</v>
      </c>
      <c r="W23" s="30">
        <f t="shared" si="8"/>
        <v>0</v>
      </c>
      <c r="X23" s="30">
        <f t="shared" si="9"/>
        <v>0</v>
      </c>
      <c r="Y23" s="30">
        <f t="shared" si="10"/>
        <v>0</v>
      </c>
    </row>
    <row r="24" spans="1:25" x14ac:dyDescent="0.2">
      <c r="A24" s="28" t="s">
        <v>34</v>
      </c>
      <c r="B24" s="30">
        <f t="shared" si="4"/>
        <v>31950</v>
      </c>
      <c r="C24" s="30">
        <f t="shared" si="4"/>
        <v>0</v>
      </c>
      <c r="D24" s="30">
        <f t="shared" si="4"/>
        <v>0</v>
      </c>
      <c r="E24" s="30">
        <f t="shared" si="4"/>
        <v>0</v>
      </c>
      <c r="F24" s="30">
        <f t="shared" si="4"/>
        <v>14023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33002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0</v>
      </c>
      <c r="O24" s="30">
        <f t="shared" si="4"/>
        <v>0</v>
      </c>
      <c r="P24" s="30">
        <f t="shared" si="4"/>
        <v>0</v>
      </c>
      <c r="Q24" s="30">
        <f t="shared" si="4"/>
        <v>0</v>
      </c>
      <c r="R24" s="30">
        <f t="shared" si="4"/>
        <v>0</v>
      </c>
      <c r="S24" s="30">
        <f t="shared" si="5"/>
        <v>0</v>
      </c>
      <c r="T24" s="30">
        <f t="shared" si="6"/>
        <v>0</v>
      </c>
      <c r="U24" s="30">
        <f t="shared" si="7"/>
        <v>0</v>
      </c>
      <c r="V24" s="30">
        <f t="shared" si="7"/>
        <v>0</v>
      </c>
      <c r="W24" s="30">
        <f t="shared" si="8"/>
        <v>0</v>
      </c>
      <c r="X24" s="30">
        <f t="shared" si="9"/>
        <v>0</v>
      </c>
      <c r="Y24" s="30">
        <f t="shared" si="10"/>
        <v>0</v>
      </c>
    </row>
    <row r="25" spans="1:25" x14ac:dyDescent="0.2">
      <c r="A25" s="28" t="s">
        <v>35</v>
      </c>
      <c r="B25" s="30">
        <f t="shared" si="4"/>
        <v>35500</v>
      </c>
      <c r="C25" s="30">
        <f t="shared" si="4"/>
        <v>0</v>
      </c>
      <c r="D25" s="30">
        <f t="shared" si="4"/>
        <v>0</v>
      </c>
      <c r="E25" s="30">
        <f t="shared" si="4"/>
        <v>0</v>
      </c>
      <c r="F25" s="30">
        <f t="shared" si="4"/>
        <v>15582</v>
      </c>
      <c r="G25" s="30">
        <f t="shared" si="4"/>
        <v>0</v>
      </c>
      <c r="H25" s="30">
        <f t="shared" si="4"/>
        <v>0</v>
      </c>
      <c r="I25" s="30">
        <f t="shared" si="4"/>
        <v>0</v>
      </c>
      <c r="J25" s="30">
        <f t="shared" si="4"/>
        <v>36668</v>
      </c>
      <c r="K25" s="30">
        <f t="shared" si="4"/>
        <v>0</v>
      </c>
      <c r="L25" s="30">
        <f t="shared" si="4"/>
        <v>0</v>
      </c>
      <c r="M25" s="30">
        <f t="shared" si="4"/>
        <v>0</v>
      </c>
      <c r="N25" s="30">
        <f t="shared" si="4"/>
        <v>0</v>
      </c>
      <c r="O25" s="30">
        <f t="shared" si="4"/>
        <v>0</v>
      </c>
      <c r="P25" s="30">
        <f t="shared" si="4"/>
        <v>0</v>
      </c>
      <c r="Q25" s="30">
        <f t="shared" si="4"/>
        <v>0</v>
      </c>
      <c r="R25" s="30">
        <f t="shared" si="4"/>
        <v>0</v>
      </c>
      <c r="S25" s="30">
        <f t="shared" si="5"/>
        <v>0</v>
      </c>
      <c r="T25" s="30">
        <f t="shared" si="6"/>
        <v>0</v>
      </c>
      <c r="U25" s="30">
        <f t="shared" si="7"/>
        <v>0</v>
      </c>
      <c r="V25" s="30">
        <f t="shared" si="7"/>
        <v>0</v>
      </c>
      <c r="W25" s="30">
        <f t="shared" si="8"/>
        <v>0</v>
      </c>
      <c r="X25" s="30">
        <f t="shared" si="9"/>
        <v>0</v>
      </c>
      <c r="Y25" s="30">
        <f t="shared" si="10"/>
        <v>0</v>
      </c>
    </row>
    <row r="26" spans="1:25" x14ac:dyDescent="0.2">
      <c r="A26" s="28" t="s">
        <v>36</v>
      </c>
      <c r="B26" s="30">
        <f t="shared" si="4"/>
        <v>39050</v>
      </c>
      <c r="C26" s="30">
        <f t="shared" si="4"/>
        <v>0</v>
      </c>
      <c r="D26" s="30">
        <f t="shared" si="4"/>
        <v>0</v>
      </c>
      <c r="E26" s="30">
        <f t="shared" si="4"/>
        <v>0</v>
      </c>
      <c r="F26" s="30">
        <f t="shared" si="4"/>
        <v>17141</v>
      </c>
      <c r="G26" s="30">
        <f t="shared" si="4"/>
        <v>0</v>
      </c>
      <c r="H26" s="30">
        <f t="shared" si="4"/>
        <v>0</v>
      </c>
      <c r="I26" s="30">
        <f t="shared" si="4"/>
        <v>0</v>
      </c>
      <c r="J26" s="30">
        <f t="shared" si="4"/>
        <v>40334</v>
      </c>
      <c r="K26" s="30">
        <f t="shared" si="4"/>
        <v>0</v>
      </c>
      <c r="L26" s="30">
        <f t="shared" si="4"/>
        <v>0</v>
      </c>
      <c r="M26" s="30">
        <f t="shared" si="4"/>
        <v>0</v>
      </c>
      <c r="N26" s="30">
        <f t="shared" si="4"/>
        <v>0</v>
      </c>
      <c r="O26" s="30">
        <f t="shared" si="4"/>
        <v>0</v>
      </c>
      <c r="P26" s="30">
        <f t="shared" si="4"/>
        <v>0</v>
      </c>
      <c r="Q26" s="30">
        <f t="shared" si="4"/>
        <v>0</v>
      </c>
      <c r="R26" s="30">
        <f t="shared" si="4"/>
        <v>0</v>
      </c>
      <c r="S26" s="30">
        <f t="shared" si="5"/>
        <v>0</v>
      </c>
      <c r="T26" s="30">
        <f t="shared" si="6"/>
        <v>0</v>
      </c>
      <c r="U26" s="30">
        <f t="shared" si="7"/>
        <v>0</v>
      </c>
      <c r="V26" s="30">
        <f t="shared" si="7"/>
        <v>0</v>
      </c>
      <c r="W26" s="30">
        <f t="shared" si="8"/>
        <v>0</v>
      </c>
      <c r="X26" s="30">
        <f t="shared" si="9"/>
        <v>0</v>
      </c>
      <c r="Y26" s="30">
        <f t="shared" si="10"/>
        <v>0</v>
      </c>
    </row>
    <row r="27" spans="1:25" x14ac:dyDescent="0.2">
      <c r="A27" s="12" t="s">
        <v>15</v>
      </c>
      <c r="B27" s="32">
        <f t="shared" si="4"/>
        <v>42600</v>
      </c>
      <c r="C27" s="32">
        <f t="shared" si="4"/>
        <v>0</v>
      </c>
      <c r="D27" s="32">
        <f t="shared" si="4"/>
        <v>0</v>
      </c>
      <c r="E27" s="32">
        <f t="shared" si="4"/>
        <v>0</v>
      </c>
      <c r="F27" s="32">
        <f t="shared" si="4"/>
        <v>18700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44000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0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0</v>
      </c>
      <c r="S27" s="32">
        <f t="shared" si="5"/>
        <v>0</v>
      </c>
      <c r="T27" s="32">
        <f t="shared" si="6"/>
        <v>0</v>
      </c>
      <c r="U27" s="32">
        <f t="shared" si="7"/>
        <v>0</v>
      </c>
      <c r="V27" s="32">
        <f t="shared" si="7"/>
        <v>0</v>
      </c>
      <c r="W27" s="32">
        <f t="shared" si="8"/>
        <v>0</v>
      </c>
      <c r="X27" s="32">
        <f t="shared" si="9"/>
        <v>0</v>
      </c>
      <c r="Y27" s="32">
        <f t="shared" si="10"/>
        <v>0</v>
      </c>
    </row>
  </sheetData>
  <mergeCells count="8">
    <mergeCell ref="B1:D1"/>
    <mergeCell ref="F1:H1"/>
    <mergeCell ref="C2:E2"/>
    <mergeCell ref="G2:I2"/>
    <mergeCell ref="S2:U2"/>
    <mergeCell ref="W2:Y2"/>
    <mergeCell ref="O2:Q2"/>
    <mergeCell ref="K2:M2"/>
  </mergeCells>
  <phoneticPr fontId="0" type="noConversion"/>
  <pageMargins left="0" right="0" top="0" bottom="0" header="0" footer="0"/>
  <pageSetup paperSize="9" scale="6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11.28515625" customWidth="1"/>
    <col min="3" max="4" width="12.5703125" bestFit="1" customWidth="1"/>
    <col min="5" max="5" width="12.5703125" customWidth="1"/>
    <col min="7" max="7" width="11" bestFit="1" customWidth="1"/>
    <col min="8" max="8" width="10.5703125" bestFit="1" customWidth="1"/>
    <col min="9" max="9" width="10.5703125" customWidth="1"/>
    <col min="12" max="12" width="11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173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2924</v>
      </c>
      <c r="C4" s="22"/>
      <c r="D4" s="22"/>
      <c r="E4" s="22"/>
      <c r="F4" s="22">
        <v>300</v>
      </c>
      <c r="G4" s="22"/>
      <c r="H4" s="22"/>
      <c r="I4" s="125"/>
      <c r="J4" s="22">
        <v>2025</v>
      </c>
      <c r="K4" s="22"/>
      <c r="L4" s="22"/>
      <c r="M4" s="22"/>
      <c r="N4" s="22">
        <v>1435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4024</v>
      </c>
      <c r="C5" s="22"/>
      <c r="D5" s="22"/>
      <c r="E5" s="22"/>
      <c r="F5" s="22">
        <v>900</v>
      </c>
      <c r="G5" s="22"/>
      <c r="H5" s="22"/>
      <c r="I5" s="125"/>
      <c r="J5" s="22">
        <v>2439</v>
      </c>
      <c r="K5" s="22"/>
      <c r="L5" s="22"/>
      <c r="M5" s="22"/>
      <c r="N5" s="22">
        <v>1726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4130</v>
      </c>
      <c r="C6" s="22"/>
      <c r="D6" s="22"/>
      <c r="E6" s="22"/>
      <c r="F6" s="22">
        <v>900</v>
      </c>
      <c r="G6" s="22"/>
      <c r="H6" s="22"/>
      <c r="I6" s="125"/>
      <c r="J6" s="22">
        <v>2482</v>
      </c>
      <c r="K6" s="22"/>
      <c r="L6" s="22"/>
      <c r="M6" s="22"/>
      <c r="N6" s="22">
        <v>1756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4176</v>
      </c>
      <c r="C7" s="22"/>
      <c r="D7" s="22"/>
      <c r="E7" s="22"/>
      <c r="F7" s="22">
        <v>900</v>
      </c>
      <c r="G7" s="22"/>
      <c r="H7" s="22"/>
      <c r="I7" s="125"/>
      <c r="J7" s="22">
        <v>2515</v>
      </c>
      <c r="K7" s="22"/>
      <c r="L7" s="22"/>
      <c r="M7" s="22"/>
      <c r="N7" s="22">
        <v>1780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4366</v>
      </c>
      <c r="C8" s="22"/>
      <c r="D8" s="22"/>
      <c r="E8" s="22"/>
      <c r="F8" s="22">
        <v>864</v>
      </c>
      <c r="G8" s="22"/>
      <c r="H8" s="22"/>
      <c r="I8" s="125"/>
      <c r="J8" s="22">
        <v>1885</v>
      </c>
      <c r="K8" s="22"/>
      <c r="L8" s="22"/>
      <c r="M8" s="22"/>
      <c r="N8" s="22">
        <v>1335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4176</v>
      </c>
      <c r="C9" s="22"/>
      <c r="D9" s="22"/>
      <c r="E9" s="22"/>
      <c r="F9" s="22">
        <v>864</v>
      </c>
      <c r="G9" s="22"/>
      <c r="H9" s="22"/>
      <c r="I9" s="125"/>
      <c r="J9" s="22">
        <v>2002</v>
      </c>
      <c r="K9" s="22"/>
      <c r="L9" s="22"/>
      <c r="M9" s="22"/>
      <c r="N9" s="22">
        <v>1417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x14ac:dyDescent="0.2">
      <c r="A10" s="18" t="s">
        <v>19</v>
      </c>
      <c r="B10" s="22">
        <v>3678</v>
      </c>
      <c r="C10" s="22"/>
      <c r="D10" s="22"/>
      <c r="E10" s="22"/>
      <c r="F10" s="22">
        <v>585</v>
      </c>
      <c r="G10" s="22"/>
      <c r="H10" s="22"/>
      <c r="I10" s="125"/>
      <c r="J10" s="22">
        <v>5794</v>
      </c>
      <c r="K10" s="22"/>
      <c r="L10" s="22"/>
      <c r="M10" s="22"/>
      <c r="N10" s="22">
        <v>876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3068</v>
      </c>
      <c r="C11" s="22"/>
      <c r="D11" s="22"/>
      <c r="E11" s="22"/>
      <c r="F11" s="22">
        <v>531</v>
      </c>
      <c r="G11" s="22"/>
      <c r="H11" s="22"/>
      <c r="I11" s="125"/>
      <c r="J11" s="22">
        <v>4129</v>
      </c>
      <c r="K11" s="22"/>
      <c r="L11" s="22"/>
      <c r="M11" s="22"/>
      <c r="N11" s="22">
        <v>567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4114</v>
      </c>
      <c r="C12" s="22"/>
      <c r="D12" s="22"/>
      <c r="E12" s="22"/>
      <c r="F12" s="22">
        <v>846</v>
      </c>
      <c r="G12" s="22"/>
      <c r="H12" s="22"/>
      <c r="I12" s="125"/>
      <c r="J12" s="22">
        <v>4901</v>
      </c>
      <c r="K12" s="22"/>
      <c r="L12" s="22"/>
      <c r="M12" s="22"/>
      <c r="N12" s="22">
        <v>605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4236</v>
      </c>
      <c r="C13" s="22"/>
      <c r="D13" s="22"/>
      <c r="E13" s="22"/>
      <c r="F13" s="22">
        <v>900</v>
      </c>
      <c r="G13" s="22"/>
      <c r="H13" s="22"/>
      <c r="I13" s="125"/>
      <c r="J13" s="22">
        <v>5218</v>
      </c>
      <c r="K13" s="22"/>
      <c r="L13" s="22"/>
      <c r="M13" s="22"/>
      <c r="N13" s="22">
        <v>736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4235</v>
      </c>
      <c r="C14" s="22"/>
      <c r="D14" s="22"/>
      <c r="E14" s="22"/>
      <c r="F14" s="22">
        <v>900</v>
      </c>
      <c r="G14" s="22"/>
      <c r="H14" s="22"/>
      <c r="I14" s="125"/>
      <c r="J14" s="22">
        <v>5266</v>
      </c>
      <c r="K14" s="22"/>
      <c r="L14" s="22"/>
      <c r="M14" s="22"/>
      <c r="N14" s="22">
        <v>785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4233</v>
      </c>
      <c r="C15" s="22"/>
      <c r="D15" s="22"/>
      <c r="E15" s="22"/>
      <c r="F15" s="22">
        <v>900</v>
      </c>
      <c r="G15" s="22"/>
      <c r="H15" s="22"/>
      <c r="I15" s="125"/>
      <c r="J15" s="22">
        <v>5347</v>
      </c>
      <c r="K15" s="22"/>
      <c r="L15" s="22"/>
      <c r="M15" s="22"/>
      <c r="N15" s="22">
        <v>762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47360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9390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44003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13780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6948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1200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4464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3161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11078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2100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6946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4917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15254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3000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9461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6697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19620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3864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11346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8032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23796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4728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13348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9449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27474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5313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19142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10325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0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30542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5844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23271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10892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0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34656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6690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28172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11497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38892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7590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33390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12233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0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43127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8490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38656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13018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47360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9390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44003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13780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  <row r="28" spans="1:29" x14ac:dyDescent="0.2">
      <c r="C28" s="16"/>
      <c r="D28" s="16"/>
      <c r="E28" s="16"/>
    </row>
    <row r="29" spans="1:29" x14ac:dyDescent="0.2">
      <c r="C29" s="16"/>
      <c r="D29" s="16"/>
      <c r="E29" s="16"/>
    </row>
    <row r="30" spans="1:29" x14ac:dyDescent="0.2">
      <c r="C30" s="16"/>
      <c r="D30" s="16"/>
      <c r="E30" s="16"/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4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topLeftCell="G1" workbookViewId="0">
      <selection activeCell="J18" sqref="J18"/>
    </sheetView>
  </sheetViews>
  <sheetFormatPr defaultRowHeight="12.75" x14ac:dyDescent="0.2"/>
  <cols>
    <col min="1" max="1" width="12.28515625" customWidth="1"/>
    <col min="3" max="3" width="11" customWidth="1"/>
    <col min="4" max="5" width="11.8554687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9" x14ac:dyDescent="0.2">
      <c r="A1" s="2" t="s">
        <v>3</v>
      </c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/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240</v>
      </c>
      <c r="C4" s="22"/>
      <c r="D4" s="22"/>
      <c r="E4" s="22"/>
      <c r="F4" s="22">
        <v>405</v>
      </c>
      <c r="G4" s="22"/>
      <c r="H4" s="22"/>
      <c r="I4" s="125"/>
      <c r="J4" s="22">
        <v>769</v>
      </c>
      <c r="K4" s="22"/>
      <c r="L4" s="22"/>
      <c r="M4" s="22"/>
      <c r="N4" s="22">
        <v>926</v>
      </c>
      <c r="O4" s="22"/>
      <c r="P4" s="22"/>
      <c r="Q4" s="22"/>
      <c r="R4" s="22">
        <v>145</v>
      </c>
      <c r="S4" s="22"/>
      <c r="T4" s="22"/>
      <c r="U4" s="22"/>
      <c r="V4" s="22">
        <v>134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240</v>
      </c>
      <c r="C5" s="22"/>
      <c r="D5" s="22"/>
      <c r="E5" s="22"/>
      <c r="F5" s="22">
        <v>415</v>
      </c>
      <c r="G5" s="22"/>
      <c r="H5" s="22"/>
      <c r="I5" s="125"/>
      <c r="J5" s="22">
        <v>769</v>
      </c>
      <c r="K5" s="22"/>
      <c r="L5" s="22"/>
      <c r="M5" s="22"/>
      <c r="N5" s="22">
        <v>927</v>
      </c>
      <c r="O5" s="22"/>
      <c r="P5" s="22"/>
      <c r="Q5" s="22"/>
      <c r="R5" s="22">
        <v>145</v>
      </c>
      <c r="S5" s="22"/>
      <c r="T5" s="22"/>
      <c r="U5" s="22"/>
      <c r="V5" s="22">
        <v>134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240</v>
      </c>
      <c r="C6" s="22"/>
      <c r="D6" s="22"/>
      <c r="E6" s="22"/>
      <c r="F6" s="22">
        <v>415</v>
      </c>
      <c r="G6" s="22"/>
      <c r="H6" s="22"/>
      <c r="I6" s="125"/>
      <c r="J6" s="22">
        <v>770</v>
      </c>
      <c r="K6" s="22"/>
      <c r="L6" s="22"/>
      <c r="M6" s="22"/>
      <c r="N6" s="22">
        <v>928</v>
      </c>
      <c r="O6" s="22"/>
      <c r="P6" s="22"/>
      <c r="Q6" s="22"/>
      <c r="R6" s="22">
        <v>145</v>
      </c>
      <c r="S6" s="22"/>
      <c r="T6" s="22"/>
      <c r="U6" s="22"/>
      <c r="V6" s="22">
        <v>134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242</v>
      </c>
      <c r="C7" s="22"/>
      <c r="D7" s="22"/>
      <c r="E7" s="22"/>
      <c r="F7" s="22">
        <v>414</v>
      </c>
      <c r="G7" s="22"/>
      <c r="H7" s="22"/>
      <c r="I7" s="125"/>
      <c r="J7" s="22">
        <v>771</v>
      </c>
      <c r="K7" s="22"/>
      <c r="L7" s="22"/>
      <c r="M7" s="22"/>
      <c r="N7" s="22">
        <v>928</v>
      </c>
      <c r="O7" s="22"/>
      <c r="P7" s="22"/>
      <c r="Q7" s="22"/>
      <c r="R7" s="22">
        <v>145</v>
      </c>
      <c r="S7" s="22"/>
      <c r="T7" s="22"/>
      <c r="U7" s="22"/>
      <c r="V7" s="22">
        <v>134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240</v>
      </c>
      <c r="C8" s="22"/>
      <c r="D8" s="22"/>
      <c r="E8" s="22"/>
      <c r="F8" s="22">
        <v>417</v>
      </c>
      <c r="G8" s="22"/>
      <c r="H8" s="22"/>
      <c r="I8" s="125"/>
      <c r="J8" s="22">
        <v>769</v>
      </c>
      <c r="K8" s="22"/>
      <c r="L8" s="22"/>
      <c r="M8" s="22"/>
      <c r="N8" s="22">
        <v>925</v>
      </c>
      <c r="O8" s="22"/>
      <c r="P8" s="22"/>
      <c r="Q8" s="22"/>
      <c r="R8" s="22">
        <v>145</v>
      </c>
      <c r="S8" s="22"/>
      <c r="T8" s="22"/>
      <c r="U8" s="22"/>
      <c r="V8" s="22">
        <v>134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236</v>
      </c>
      <c r="C9" s="22"/>
      <c r="D9" s="22"/>
      <c r="E9" s="22"/>
      <c r="F9" s="22">
        <v>405</v>
      </c>
      <c r="G9" s="22"/>
      <c r="H9" s="22"/>
      <c r="I9" s="125"/>
      <c r="J9" s="22">
        <v>769</v>
      </c>
      <c r="K9" s="22"/>
      <c r="L9" s="22"/>
      <c r="M9" s="22"/>
      <c r="N9" s="22">
        <v>925</v>
      </c>
      <c r="O9" s="22"/>
      <c r="P9" s="22"/>
      <c r="Q9" s="22"/>
      <c r="R9" s="22">
        <v>145</v>
      </c>
      <c r="S9" s="22"/>
      <c r="T9" s="22"/>
      <c r="U9" s="22"/>
      <c r="V9" s="22">
        <v>134</v>
      </c>
      <c r="W9" s="22"/>
      <c r="X9" s="22"/>
      <c r="Y9" s="22"/>
      <c r="Z9" s="22"/>
      <c r="AA9" s="22"/>
      <c r="AB9" s="22"/>
      <c r="AC9" s="22"/>
    </row>
    <row r="10" spans="1:29" x14ac:dyDescent="0.2">
      <c r="A10" s="18" t="s">
        <v>19</v>
      </c>
      <c r="B10" s="22">
        <v>239</v>
      </c>
      <c r="C10" s="22"/>
      <c r="D10" s="22"/>
      <c r="E10" s="22"/>
      <c r="F10" s="22">
        <v>402</v>
      </c>
      <c r="G10" s="22"/>
      <c r="H10" s="22"/>
      <c r="I10" s="125"/>
      <c r="J10" s="22">
        <v>2113</v>
      </c>
      <c r="K10" s="22"/>
      <c r="L10" s="22"/>
      <c r="M10" s="22"/>
      <c r="N10" s="22">
        <v>529</v>
      </c>
      <c r="O10" s="22"/>
      <c r="P10" s="22"/>
      <c r="Q10" s="22"/>
      <c r="R10" s="22">
        <v>21</v>
      </c>
      <c r="S10" s="22"/>
      <c r="T10" s="22"/>
      <c r="U10" s="22"/>
      <c r="V10" s="22">
        <v>18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238</v>
      </c>
      <c r="C11" s="22"/>
      <c r="D11" s="22"/>
      <c r="E11" s="22"/>
      <c r="F11" s="22">
        <v>402</v>
      </c>
      <c r="G11" s="22"/>
      <c r="H11" s="22"/>
      <c r="I11" s="125"/>
      <c r="J11" s="22">
        <v>2118</v>
      </c>
      <c r="K11" s="22"/>
      <c r="L11" s="22"/>
      <c r="M11" s="22"/>
      <c r="N11" s="22">
        <v>529</v>
      </c>
      <c r="O11" s="22"/>
      <c r="P11" s="22"/>
      <c r="Q11" s="22"/>
      <c r="R11" s="22">
        <v>21</v>
      </c>
      <c r="S11" s="22"/>
      <c r="T11" s="22"/>
      <c r="U11" s="22"/>
      <c r="V11" s="22">
        <v>18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239</v>
      </c>
      <c r="C12" s="22"/>
      <c r="D12" s="22"/>
      <c r="E12" s="22"/>
      <c r="F12" s="22">
        <v>429</v>
      </c>
      <c r="G12" s="22"/>
      <c r="H12" s="22"/>
      <c r="I12" s="125"/>
      <c r="J12" s="22">
        <v>2121</v>
      </c>
      <c r="K12" s="22"/>
      <c r="L12" s="22"/>
      <c r="M12" s="22"/>
      <c r="N12" s="22">
        <v>535</v>
      </c>
      <c r="O12" s="22"/>
      <c r="P12" s="22"/>
      <c r="Q12" s="22"/>
      <c r="R12" s="22">
        <v>22</v>
      </c>
      <c r="S12" s="22"/>
      <c r="T12" s="22"/>
      <c r="U12" s="22"/>
      <c r="V12" s="22">
        <v>18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242</v>
      </c>
      <c r="C13" s="22"/>
      <c r="D13" s="22"/>
      <c r="E13" s="22"/>
      <c r="F13" s="22">
        <v>429</v>
      </c>
      <c r="G13" s="22"/>
      <c r="H13" s="22"/>
      <c r="I13" s="125"/>
      <c r="J13" s="22">
        <v>2121</v>
      </c>
      <c r="K13" s="22"/>
      <c r="L13" s="22"/>
      <c r="M13" s="22"/>
      <c r="N13" s="22">
        <v>536</v>
      </c>
      <c r="O13" s="22"/>
      <c r="P13" s="22"/>
      <c r="Q13" s="22"/>
      <c r="R13" s="22">
        <v>22</v>
      </c>
      <c r="S13" s="22"/>
      <c r="T13" s="22"/>
      <c r="U13" s="22"/>
      <c r="V13" s="22">
        <v>18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243</v>
      </c>
      <c r="C14" s="22"/>
      <c r="D14" s="22"/>
      <c r="E14" s="22"/>
      <c r="F14" s="22">
        <v>444</v>
      </c>
      <c r="G14" s="22"/>
      <c r="H14" s="22"/>
      <c r="I14" s="125"/>
      <c r="J14" s="22">
        <v>2120</v>
      </c>
      <c r="K14" s="22"/>
      <c r="L14" s="22"/>
      <c r="M14" s="22"/>
      <c r="N14" s="22">
        <v>529</v>
      </c>
      <c r="O14" s="22"/>
      <c r="P14" s="22"/>
      <c r="Q14" s="22"/>
      <c r="R14" s="22">
        <v>22</v>
      </c>
      <c r="S14" s="22"/>
      <c r="T14" s="22"/>
      <c r="U14" s="22"/>
      <c r="V14" s="22">
        <v>17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241</v>
      </c>
      <c r="C15" s="22"/>
      <c r="D15" s="22"/>
      <c r="E15" s="22"/>
      <c r="F15" s="22">
        <v>423</v>
      </c>
      <c r="G15" s="22"/>
      <c r="H15" s="22"/>
      <c r="I15" s="125"/>
      <c r="J15" s="22">
        <v>2114</v>
      </c>
      <c r="K15" s="22"/>
      <c r="L15" s="22"/>
      <c r="M15" s="22"/>
      <c r="N15" s="22">
        <v>524</v>
      </c>
      <c r="O15" s="22"/>
      <c r="P15" s="22"/>
      <c r="Q15" s="22"/>
      <c r="R15" s="22">
        <v>22</v>
      </c>
      <c r="S15" s="22"/>
      <c r="T15" s="22"/>
      <c r="U15" s="22"/>
      <c r="V15" s="22">
        <v>17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 t="shared" ref="B16:AC16" si="0">SUM(B4:B15)</f>
        <v>2880</v>
      </c>
      <c r="C16" s="22">
        <f t="shared" si="0"/>
        <v>0</v>
      </c>
      <c r="D16" s="22">
        <f t="shared" si="0"/>
        <v>0</v>
      </c>
      <c r="E16" s="22">
        <f t="shared" si="0"/>
        <v>0</v>
      </c>
      <c r="F16" s="22">
        <f t="shared" si="0"/>
        <v>5000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17324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8741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1000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910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480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820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1538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1853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290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268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720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1235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2308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2781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435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402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962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1649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3079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3709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580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536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1202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2066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3848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4634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725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670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1438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2471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4617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5559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870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804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1677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2873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6730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6088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891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822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1915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3275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8848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6617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912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840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2154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3704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10969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7152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934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858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2396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4133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13090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7688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956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876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2639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4577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15210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8217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978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893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2880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5000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17324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8741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1000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910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B1:D1"/>
    <mergeCell ref="F1:H1"/>
    <mergeCell ref="O2:Q2"/>
    <mergeCell ref="S2:U2"/>
    <mergeCell ref="W2:Y2"/>
    <mergeCell ref="AA2:AC2"/>
    <mergeCell ref="C2:E2"/>
    <mergeCell ref="K2:M2"/>
    <mergeCell ref="G2:I2"/>
  </mergeCells>
  <phoneticPr fontId="0" type="noConversion"/>
  <pageMargins left="0.75" right="0.75" top="1" bottom="1" header="0.5" footer="0.5"/>
  <pageSetup paperSize="9" scale="3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5" width="9.5703125" customWidth="1"/>
    <col min="7" max="7" width="11" customWidth="1"/>
    <col min="8" max="9" width="9" customWidth="1"/>
  </cols>
  <sheetData>
    <row r="1" spans="1:27" x14ac:dyDescent="0.2">
      <c r="A1" s="2"/>
      <c r="B1" s="359" t="s">
        <v>20</v>
      </c>
      <c r="C1" s="358"/>
      <c r="D1" s="358"/>
      <c r="E1" s="362"/>
      <c r="F1" s="359" t="s">
        <v>21</v>
      </c>
      <c r="G1" s="358"/>
      <c r="H1" s="358"/>
      <c r="I1" s="362"/>
      <c r="J1" s="363" t="s">
        <v>22</v>
      </c>
      <c r="K1" s="364"/>
      <c r="L1" s="364"/>
      <c r="M1" s="364"/>
      <c r="O1" t="s">
        <v>193</v>
      </c>
      <c r="S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</row>
    <row r="3" spans="1:27" x14ac:dyDescent="0.2">
      <c r="A3" s="4"/>
      <c r="B3" s="9"/>
      <c r="C3" s="17" t="s">
        <v>27</v>
      </c>
      <c r="D3" s="15" t="s">
        <v>26</v>
      </c>
      <c r="E3" s="121" t="s">
        <v>105</v>
      </c>
      <c r="F3" s="9"/>
      <c r="G3" s="17" t="s">
        <v>27</v>
      </c>
      <c r="H3" s="15" t="s">
        <v>26</v>
      </c>
      <c r="I3" s="121" t="s">
        <v>105</v>
      </c>
      <c r="J3" s="7"/>
      <c r="K3" s="17" t="s">
        <v>27</v>
      </c>
      <c r="L3" s="15" t="s">
        <v>26</v>
      </c>
      <c r="M3" s="121" t="s">
        <v>105</v>
      </c>
    </row>
    <row r="4" spans="1:27" x14ac:dyDescent="0.2">
      <c r="A4" s="1" t="s">
        <v>4</v>
      </c>
      <c r="B4" s="22">
        <f>C4+D4</f>
        <v>0</v>
      </c>
      <c r="C4" s="22"/>
      <c r="D4" s="22"/>
      <c r="E4" s="22"/>
      <c r="F4" s="22">
        <v>1400</v>
      </c>
      <c r="G4" s="22"/>
      <c r="H4" s="22"/>
      <c r="I4" s="22"/>
      <c r="J4" s="22">
        <v>300</v>
      </c>
      <c r="K4" s="22"/>
      <c r="L4" s="22"/>
      <c r="M4" s="21"/>
    </row>
    <row r="5" spans="1:27" x14ac:dyDescent="0.2">
      <c r="A5" s="1" t="s">
        <v>7</v>
      </c>
      <c r="B5" s="22">
        <f t="shared" ref="B5:B15" si="0">C5+D5</f>
        <v>0</v>
      </c>
      <c r="C5" s="22"/>
      <c r="D5" s="22"/>
      <c r="E5" s="22"/>
      <c r="F5" s="22">
        <v>2200</v>
      </c>
      <c r="G5" s="22"/>
      <c r="H5" s="22"/>
      <c r="I5" s="22"/>
      <c r="J5" s="22">
        <v>340</v>
      </c>
      <c r="K5" s="22"/>
      <c r="L5" s="22"/>
      <c r="M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v>3000</v>
      </c>
      <c r="G6" s="22"/>
      <c r="H6" s="22"/>
      <c r="I6" s="22"/>
      <c r="J6" s="22">
        <v>340</v>
      </c>
      <c r="K6" s="22"/>
      <c r="L6" s="22"/>
      <c r="M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v>3000</v>
      </c>
      <c r="G7" s="22"/>
      <c r="H7" s="22"/>
      <c r="I7" s="22"/>
      <c r="J7" s="22">
        <v>400</v>
      </c>
      <c r="K7" s="22"/>
      <c r="L7" s="22"/>
      <c r="M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v>3000</v>
      </c>
      <c r="G8" s="22"/>
      <c r="H8" s="22"/>
      <c r="I8" s="22"/>
      <c r="J8" s="22">
        <v>320</v>
      </c>
      <c r="K8" s="22"/>
      <c r="L8" s="22"/>
      <c r="M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v>2600</v>
      </c>
      <c r="G9" s="22"/>
      <c r="H9" s="22"/>
      <c r="I9" s="22"/>
      <c r="J9" s="22">
        <v>400</v>
      </c>
      <c r="K9" s="22"/>
      <c r="L9" s="22"/>
      <c r="M9" s="21"/>
    </row>
    <row r="10" spans="1:27" x14ac:dyDescent="0.2">
      <c r="A10" s="82" t="s">
        <v>19</v>
      </c>
      <c r="B10" s="104">
        <f t="shared" si="0"/>
        <v>0</v>
      </c>
      <c r="C10" s="22"/>
      <c r="D10" s="84"/>
      <c r="E10" s="84"/>
      <c r="F10" s="22">
        <v>1300</v>
      </c>
      <c r="G10" s="22"/>
      <c r="H10" s="22"/>
      <c r="I10" s="22"/>
      <c r="J10" s="22">
        <v>200</v>
      </c>
      <c r="K10" s="22"/>
      <c r="L10" s="22"/>
      <c r="M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v>1300</v>
      </c>
      <c r="G11" s="22"/>
      <c r="H11" s="22"/>
      <c r="I11" s="22"/>
      <c r="J11" s="22">
        <v>200</v>
      </c>
      <c r="K11" s="22"/>
      <c r="L11" s="22"/>
      <c r="M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v>2600</v>
      </c>
      <c r="G12" s="22"/>
      <c r="H12" s="22"/>
      <c r="I12" s="22"/>
      <c r="J12" s="22">
        <v>370</v>
      </c>
      <c r="K12" s="22"/>
      <c r="L12" s="22"/>
      <c r="M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v>2600</v>
      </c>
      <c r="G13" s="22"/>
      <c r="H13" s="22"/>
      <c r="I13" s="22"/>
      <c r="J13" s="22">
        <v>400</v>
      </c>
      <c r="K13" s="22"/>
      <c r="L13" s="22"/>
      <c r="M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v>2600</v>
      </c>
      <c r="G14" s="22"/>
      <c r="H14" s="22"/>
      <c r="I14" s="22"/>
      <c r="J14" s="22">
        <v>350</v>
      </c>
      <c r="K14" s="22"/>
      <c r="L14" s="22"/>
      <c r="M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v>2600</v>
      </c>
      <c r="G15" s="22"/>
      <c r="H15" s="22"/>
      <c r="I15" s="22"/>
      <c r="J15" s="22">
        <v>380</v>
      </c>
      <c r="K15" s="22"/>
      <c r="L15" s="22"/>
      <c r="M15" s="21"/>
    </row>
    <row r="16" spans="1:27" x14ac:dyDescent="0.2">
      <c r="A16" s="1" t="s">
        <v>6</v>
      </c>
      <c r="B16" s="22">
        <f>SUM(B4:B15)</f>
        <v>0</v>
      </c>
      <c r="C16" s="22">
        <f t="shared" ref="C16:I16" si="1">SUM(C4:C15)</f>
        <v>0</v>
      </c>
      <c r="D16" s="22">
        <f t="shared" si="1"/>
        <v>0</v>
      </c>
      <c r="E16" s="22">
        <f t="shared" si="1"/>
        <v>0</v>
      </c>
      <c r="F16" s="22">
        <f t="shared" si="1"/>
        <v>28200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>SUM(J4:J15)</f>
        <v>4000</v>
      </c>
      <c r="K16" s="22">
        <f>SUM(K4:K15)</f>
        <v>0</v>
      </c>
      <c r="L16" s="22">
        <f>SUM(L4:L15)</f>
        <v>0</v>
      </c>
      <c r="M16" s="22">
        <f>SUM(M4:M15)</f>
        <v>0</v>
      </c>
    </row>
    <row r="17" spans="1:13" x14ac:dyDescent="0.2">
      <c r="A17" s="28" t="s">
        <v>28</v>
      </c>
      <c r="B17" s="30">
        <f>B4+B5</f>
        <v>0</v>
      </c>
      <c r="C17" s="30">
        <f t="shared" ref="C17:H17" si="2">C4+C5</f>
        <v>0</v>
      </c>
      <c r="D17" s="30">
        <f t="shared" si="2"/>
        <v>0</v>
      </c>
      <c r="E17" s="30">
        <f>E4+E5</f>
        <v>0</v>
      </c>
      <c r="F17" s="30">
        <f t="shared" si="2"/>
        <v>3600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>J4+J5</f>
        <v>640</v>
      </c>
      <c r="K17" s="30">
        <f>K4+K5</f>
        <v>0</v>
      </c>
      <c r="L17" s="30">
        <f>L4+L5</f>
        <v>0</v>
      </c>
      <c r="M17" s="30">
        <f>M4+M5</f>
        <v>0</v>
      </c>
    </row>
    <row r="18" spans="1:13" x14ac:dyDescent="0.2">
      <c r="A18" s="28" t="s">
        <v>96</v>
      </c>
      <c r="B18" s="30">
        <f t="shared" ref="B18:B27" si="3">B17+B6</f>
        <v>0</v>
      </c>
      <c r="C18" s="30">
        <f t="shared" ref="C18:I18" si="4">C17+C6</f>
        <v>0</v>
      </c>
      <c r="D18" s="30">
        <f t="shared" si="4"/>
        <v>0</v>
      </c>
      <c r="E18" s="30">
        <f t="shared" si="4"/>
        <v>0</v>
      </c>
      <c r="F18" s="30">
        <f t="shared" si="4"/>
        <v>6600</v>
      </c>
      <c r="G18" s="30">
        <f t="shared" si="4"/>
        <v>0</v>
      </c>
      <c r="H18" s="30">
        <f t="shared" si="4"/>
        <v>0</v>
      </c>
      <c r="I18" s="30">
        <f t="shared" si="4"/>
        <v>0</v>
      </c>
      <c r="J18" s="30">
        <f t="shared" ref="J18:J27" si="5">J17+J6</f>
        <v>980</v>
      </c>
      <c r="K18" s="30">
        <f t="shared" ref="K18:K27" si="6">K17+K6</f>
        <v>0</v>
      </c>
      <c r="L18" s="30">
        <f t="shared" ref="L18:L27" si="7">L17+L6</f>
        <v>0</v>
      </c>
      <c r="M18" s="30">
        <f t="shared" ref="M18:M27" si="8">M17+M6</f>
        <v>0</v>
      </c>
    </row>
    <row r="19" spans="1:13" x14ac:dyDescent="0.2">
      <c r="A19" s="28" t="s">
        <v>29</v>
      </c>
      <c r="B19" s="30">
        <f t="shared" si="3"/>
        <v>0</v>
      </c>
      <c r="C19" s="30">
        <f t="shared" ref="C19:I19" si="9">C18+C7</f>
        <v>0</v>
      </c>
      <c r="D19" s="30">
        <f t="shared" si="9"/>
        <v>0</v>
      </c>
      <c r="E19" s="30">
        <f t="shared" si="9"/>
        <v>0</v>
      </c>
      <c r="F19" s="30">
        <f t="shared" si="9"/>
        <v>9600</v>
      </c>
      <c r="G19" s="30">
        <f t="shared" si="9"/>
        <v>0</v>
      </c>
      <c r="H19" s="30">
        <f t="shared" si="9"/>
        <v>0</v>
      </c>
      <c r="I19" s="30">
        <f t="shared" si="9"/>
        <v>0</v>
      </c>
      <c r="J19" s="30">
        <f t="shared" si="5"/>
        <v>1380</v>
      </c>
      <c r="K19" s="30">
        <f t="shared" si="6"/>
        <v>0</v>
      </c>
      <c r="L19" s="30">
        <f t="shared" si="7"/>
        <v>0</v>
      </c>
      <c r="M19" s="30">
        <f t="shared" si="8"/>
        <v>0</v>
      </c>
    </row>
    <row r="20" spans="1:13" x14ac:dyDescent="0.2">
      <c r="A20" s="28" t="s">
        <v>30</v>
      </c>
      <c r="B20" s="30">
        <f t="shared" si="3"/>
        <v>0</v>
      </c>
      <c r="C20" s="30">
        <f t="shared" ref="C20:I20" si="10">C19+C8</f>
        <v>0</v>
      </c>
      <c r="D20" s="30">
        <f t="shared" si="10"/>
        <v>0</v>
      </c>
      <c r="E20" s="30">
        <f t="shared" si="10"/>
        <v>0</v>
      </c>
      <c r="F20" s="30">
        <f t="shared" si="10"/>
        <v>12600</v>
      </c>
      <c r="G20" s="30">
        <f t="shared" si="10"/>
        <v>0</v>
      </c>
      <c r="H20" s="30">
        <f t="shared" si="10"/>
        <v>0</v>
      </c>
      <c r="I20" s="30">
        <f t="shared" si="10"/>
        <v>0</v>
      </c>
      <c r="J20" s="30">
        <f t="shared" si="5"/>
        <v>1700</v>
      </c>
      <c r="K20" s="30">
        <f t="shared" si="6"/>
        <v>0</v>
      </c>
      <c r="L20" s="30">
        <f t="shared" si="7"/>
        <v>0</v>
      </c>
      <c r="M20" s="30">
        <f t="shared" si="8"/>
        <v>0</v>
      </c>
    </row>
    <row r="21" spans="1:13" x14ac:dyDescent="0.2">
      <c r="A21" s="28" t="s">
        <v>31</v>
      </c>
      <c r="B21" s="30">
        <f t="shared" si="3"/>
        <v>0</v>
      </c>
      <c r="C21" s="30">
        <f t="shared" ref="C21:I21" si="11">C20+C9</f>
        <v>0</v>
      </c>
      <c r="D21" s="30">
        <f t="shared" si="11"/>
        <v>0</v>
      </c>
      <c r="E21" s="30">
        <f t="shared" si="11"/>
        <v>0</v>
      </c>
      <c r="F21" s="30">
        <f t="shared" si="11"/>
        <v>15200</v>
      </c>
      <c r="G21" s="30">
        <f t="shared" si="11"/>
        <v>0</v>
      </c>
      <c r="H21" s="30">
        <f t="shared" si="11"/>
        <v>0</v>
      </c>
      <c r="I21" s="30">
        <f t="shared" si="11"/>
        <v>0</v>
      </c>
      <c r="J21" s="30">
        <f t="shared" si="5"/>
        <v>2100</v>
      </c>
      <c r="K21" s="30">
        <f t="shared" si="6"/>
        <v>0</v>
      </c>
      <c r="L21" s="30">
        <f t="shared" si="7"/>
        <v>0</v>
      </c>
      <c r="M21" s="30">
        <f t="shared" si="8"/>
        <v>0</v>
      </c>
    </row>
    <row r="22" spans="1:13" x14ac:dyDescent="0.2">
      <c r="A22" s="28" t="s">
        <v>32</v>
      </c>
      <c r="B22" s="30">
        <f t="shared" si="3"/>
        <v>0</v>
      </c>
      <c r="C22" s="30">
        <f t="shared" ref="C22:I22" si="12">C21+C10</f>
        <v>0</v>
      </c>
      <c r="D22" s="30">
        <f t="shared" si="12"/>
        <v>0</v>
      </c>
      <c r="E22" s="30">
        <f t="shared" si="12"/>
        <v>0</v>
      </c>
      <c r="F22" s="30">
        <f t="shared" si="12"/>
        <v>16500</v>
      </c>
      <c r="G22" s="30">
        <f t="shared" si="12"/>
        <v>0</v>
      </c>
      <c r="H22" s="30">
        <f t="shared" si="12"/>
        <v>0</v>
      </c>
      <c r="I22" s="30">
        <f t="shared" si="12"/>
        <v>0</v>
      </c>
      <c r="J22" s="30">
        <f t="shared" si="5"/>
        <v>2300</v>
      </c>
      <c r="K22" s="30">
        <f t="shared" si="6"/>
        <v>0</v>
      </c>
      <c r="L22" s="30">
        <f t="shared" si="7"/>
        <v>0</v>
      </c>
      <c r="M22" s="30">
        <f t="shared" si="8"/>
        <v>0</v>
      </c>
    </row>
    <row r="23" spans="1:13" x14ac:dyDescent="0.2">
      <c r="A23" s="28" t="s">
        <v>33</v>
      </c>
      <c r="B23" s="30">
        <f t="shared" si="3"/>
        <v>0</v>
      </c>
      <c r="C23" s="30">
        <f t="shared" ref="C23:I23" si="13">C22+C11</f>
        <v>0</v>
      </c>
      <c r="D23" s="30">
        <f t="shared" si="13"/>
        <v>0</v>
      </c>
      <c r="E23" s="30">
        <f t="shared" si="13"/>
        <v>0</v>
      </c>
      <c r="F23" s="30">
        <f t="shared" si="13"/>
        <v>17800</v>
      </c>
      <c r="G23" s="30">
        <f t="shared" si="13"/>
        <v>0</v>
      </c>
      <c r="H23" s="30">
        <f t="shared" si="13"/>
        <v>0</v>
      </c>
      <c r="I23" s="30">
        <f t="shared" si="13"/>
        <v>0</v>
      </c>
      <c r="J23" s="30">
        <f t="shared" si="5"/>
        <v>2500</v>
      </c>
      <c r="K23" s="30">
        <f t="shared" si="6"/>
        <v>0</v>
      </c>
      <c r="L23" s="30">
        <f t="shared" si="7"/>
        <v>0</v>
      </c>
      <c r="M23" s="30">
        <f t="shared" si="8"/>
        <v>0</v>
      </c>
    </row>
    <row r="24" spans="1:13" x14ac:dyDescent="0.2">
      <c r="A24" s="28" t="s">
        <v>34</v>
      </c>
      <c r="B24" s="30">
        <f t="shared" si="3"/>
        <v>0</v>
      </c>
      <c r="C24" s="30">
        <f t="shared" ref="C24:I24" si="14">C23+C12</f>
        <v>0</v>
      </c>
      <c r="D24" s="30">
        <f t="shared" si="14"/>
        <v>0</v>
      </c>
      <c r="E24" s="30">
        <f t="shared" si="14"/>
        <v>0</v>
      </c>
      <c r="F24" s="30">
        <f t="shared" si="14"/>
        <v>20400</v>
      </c>
      <c r="G24" s="30">
        <f t="shared" si="14"/>
        <v>0</v>
      </c>
      <c r="H24" s="30">
        <f t="shared" si="14"/>
        <v>0</v>
      </c>
      <c r="I24" s="30">
        <f t="shared" si="14"/>
        <v>0</v>
      </c>
      <c r="J24" s="30">
        <f t="shared" si="5"/>
        <v>2870</v>
      </c>
      <c r="K24" s="30">
        <f t="shared" si="6"/>
        <v>0</v>
      </c>
      <c r="L24" s="30">
        <f t="shared" si="7"/>
        <v>0</v>
      </c>
      <c r="M24" s="30">
        <f t="shared" si="8"/>
        <v>0</v>
      </c>
    </row>
    <row r="25" spans="1:13" x14ac:dyDescent="0.2">
      <c r="A25" s="29" t="s">
        <v>35</v>
      </c>
      <c r="B25" s="31">
        <f t="shared" si="3"/>
        <v>0</v>
      </c>
      <c r="C25" s="31">
        <f t="shared" ref="C25:I25" si="15">C24+C13</f>
        <v>0</v>
      </c>
      <c r="D25" s="31">
        <f t="shared" si="15"/>
        <v>0</v>
      </c>
      <c r="E25" s="31">
        <f t="shared" si="15"/>
        <v>0</v>
      </c>
      <c r="F25" s="31">
        <f t="shared" si="15"/>
        <v>23000</v>
      </c>
      <c r="G25" s="31">
        <f t="shared" si="15"/>
        <v>0</v>
      </c>
      <c r="H25" s="31">
        <f t="shared" si="15"/>
        <v>0</v>
      </c>
      <c r="I25" s="31">
        <f t="shared" si="15"/>
        <v>0</v>
      </c>
      <c r="J25" s="31">
        <f t="shared" si="5"/>
        <v>3270</v>
      </c>
      <c r="K25" s="31">
        <f t="shared" si="6"/>
        <v>0</v>
      </c>
      <c r="L25" s="31">
        <f t="shared" si="7"/>
        <v>0</v>
      </c>
      <c r="M25" s="31">
        <f t="shared" si="8"/>
        <v>0</v>
      </c>
    </row>
    <row r="26" spans="1:13" x14ac:dyDescent="0.2">
      <c r="A26" s="29" t="s">
        <v>36</v>
      </c>
      <c r="B26" s="31">
        <f t="shared" si="3"/>
        <v>0</v>
      </c>
      <c r="C26" s="31">
        <f t="shared" ref="C26:I26" si="16">C25+C14</f>
        <v>0</v>
      </c>
      <c r="D26" s="31">
        <f t="shared" si="16"/>
        <v>0</v>
      </c>
      <c r="E26" s="31">
        <f t="shared" si="16"/>
        <v>0</v>
      </c>
      <c r="F26" s="31">
        <f t="shared" si="16"/>
        <v>25600</v>
      </c>
      <c r="G26" s="31">
        <f t="shared" si="16"/>
        <v>0</v>
      </c>
      <c r="H26" s="31">
        <f t="shared" si="16"/>
        <v>0</v>
      </c>
      <c r="I26" s="31">
        <f t="shared" si="16"/>
        <v>0</v>
      </c>
      <c r="J26" s="31">
        <f t="shared" si="5"/>
        <v>3620</v>
      </c>
      <c r="K26" s="31">
        <f t="shared" si="6"/>
        <v>0</v>
      </c>
      <c r="L26" s="31">
        <f t="shared" si="7"/>
        <v>0</v>
      </c>
      <c r="M26" s="31">
        <f t="shared" si="8"/>
        <v>0</v>
      </c>
    </row>
    <row r="27" spans="1:13" x14ac:dyDescent="0.2">
      <c r="A27" s="12" t="s">
        <v>15</v>
      </c>
      <c r="B27" s="32">
        <f t="shared" si="3"/>
        <v>0</v>
      </c>
      <c r="C27" s="32">
        <f t="shared" ref="C27:I27" si="17">C26+C15</f>
        <v>0</v>
      </c>
      <c r="D27" s="32">
        <f t="shared" si="17"/>
        <v>0</v>
      </c>
      <c r="E27" s="32">
        <f t="shared" si="17"/>
        <v>0</v>
      </c>
      <c r="F27" s="32">
        <f t="shared" si="17"/>
        <v>28200</v>
      </c>
      <c r="G27" s="32">
        <f t="shared" si="17"/>
        <v>0</v>
      </c>
      <c r="H27" s="32">
        <f t="shared" si="17"/>
        <v>0</v>
      </c>
      <c r="I27" s="32">
        <f t="shared" si="17"/>
        <v>0</v>
      </c>
      <c r="J27" s="32">
        <f t="shared" si="5"/>
        <v>4000</v>
      </c>
      <c r="K27" s="32">
        <f t="shared" si="6"/>
        <v>0</v>
      </c>
      <c r="L27" s="32">
        <f t="shared" si="7"/>
        <v>0</v>
      </c>
      <c r="M27" s="32">
        <f t="shared" si="8"/>
        <v>0</v>
      </c>
    </row>
    <row r="28" spans="1:13" x14ac:dyDescent="0.2">
      <c r="C28" s="16"/>
      <c r="D28" s="16"/>
      <c r="E28" s="16"/>
    </row>
    <row r="29" spans="1:13" x14ac:dyDescent="0.2">
      <c r="C29" s="16"/>
      <c r="D29" s="16"/>
      <c r="E29" s="16"/>
    </row>
    <row r="30" spans="1:13" x14ac:dyDescent="0.2">
      <c r="C30" s="16"/>
      <c r="D30" s="16"/>
      <c r="E30" s="16"/>
    </row>
  </sheetData>
  <mergeCells count="6">
    <mergeCell ref="J1:M1"/>
    <mergeCell ref="K2:M2"/>
    <mergeCell ref="C2:E2"/>
    <mergeCell ref="B1:E1"/>
    <mergeCell ref="F1:I1"/>
    <mergeCell ref="G2:I2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pane xSplit="1" ySplit="2" topLeftCell="P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4.5703125" bestFit="1" customWidth="1"/>
    <col min="5" max="5" width="14.5703125" customWidth="1"/>
    <col min="7" max="7" width="11" bestFit="1" customWidth="1"/>
    <col min="8" max="8" width="10.5703125" bestFit="1" customWidth="1"/>
    <col min="9" max="9" width="10.5703125" customWidth="1"/>
    <col min="12" max="12" width="13.42578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f>1465+535+530+130+800+1925+220+770+80+530+950+685</f>
        <v>8620</v>
      </c>
      <c r="C4" s="22"/>
      <c r="D4" s="22"/>
      <c r="E4" s="22"/>
      <c r="F4" s="22">
        <v>5240</v>
      </c>
      <c r="G4" s="22"/>
      <c r="H4" s="22"/>
      <c r="I4" s="125"/>
      <c r="J4" s="22">
        <f>555+385+430+215+360+130+6375+795+395+425+840+700+130+445+255</f>
        <v>12435</v>
      </c>
      <c r="K4" s="22"/>
      <c r="L4" s="22"/>
      <c r="M4" s="22"/>
      <c r="N4" s="22">
        <f>5325+467+444+439+1262+703+685+146+427+162+228+292+3278+180+102+102+226+269+89+238+92</f>
        <v>15156</v>
      </c>
      <c r="O4" s="22"/>
      <c r="P4" s="22"/>
      <c r="Q4" s="22"/>
      <c r="R4" s="22">
        <f>500+2500+1165</f>
        <v>4165</v>
      </c>
      <c r="S4" s="22"/>
      <c r="T4" s="22"/>
      <c r="U4" s="22"/>
      <c r="V4" s="22"/>
      <c r="W4" s="22"/>
      <c r="X4" s="22"/>
      <c r="Y4" s="22"/>
      <c r="Z4" s="22">
        <v>1265</v>
      </c>
      <c r="AA4" s="22"/>
      <c r="AB4" s="22"/>
      <c r="AC4" s="22"/>
    </row>
    <row r="5" spans="1:29" x14ac:dyDescent="0.2">
      <c r="A5" s="1" t="s">
        <v>7</v>
      </c>
      <c r="B5" s="22">
        <v>8649</v>
      </c>
      <c r="C5" s="22"/>
      <c r="D5" s="22"/>
      <c r="E5" s="22"/>
      <c r="F5" s="22">
        <v>5250</v>
      </c>
      <c r="G5" s="22"/>
      <c r="H5" s="22"/>
      <c r="I5" s="125"/>
      <c r="J5" s="22">
        <f>560+385+430+215+360+135+6380+795+400+425+845+705+135+445+260</f>
        <v>12475</v>
      </c>
      <c r="K5" s="22"/>
      <c r="L5" s="22"/>
      <c r="M5" s="22"/>
      <c r="N5" s="22">
        <f>5325+467+444+439+1263+703+686+147+428+163+229+293+3279+181+102+103+227+269+90+239+92</f>
        <v>15169</v>
      </c>
      <c r="O5" s="22"/>
      <c r="P5" s="22"/>
      <c r="Q5" s="22"/>
      <c r="R5" s="22">
        <v>4170</v>
      </c>
      <c r="S5" s="22"/>
      <c r="T5" s="22"/>
      <c r="U5" s="22"/>
      <c r="V5" s="22"/>
      <c r="W5" s="22"/>
      <c r="X5" s="22"/>
      <c r="Y5" s="22"/>
      <c r="Z5" s="22">
        <v>1265</v>
      </c>
      <c r="AA5" s="22"/>
      <c r="AB5" s="22"/>
      <c r="AC5" s="22"/>
    </row>
    <row r="6" spans="1:29" x14ac:dyDescent="0.2">
      <c r="A6" s="1" t="s">
        <v>8</v>
      </c>
      <c r="B6" s="22">
        <f>1465+539+535+135+800+1925+220+770+85+535+950+690</f>
        <v>8649</v>
      </c>
      <c r="C6" s="22"/>
      <c r="D6" s="22"/>
      <c r="E6" s="22"/>
      <c r="F6" s="22">
        <v>5255</v>
      </c>
      <c r="G6" s="22"/>
      <c r="H6" s="22"/>
      <c r="I6" s="125"/>
      <c r="J6" s="22">
        <f>560+385+435+215+365+135+6380+800+400+425+845+705+135+445+260</f>
        <v>12490</v>
      </c>
      <c r="K6" s="22"/>
      <c r="L6" s="22"/>
      <c r="M6" s="22"/>
      <c r="N6" s="22">
        <f>5326+468+445+440+1263+704+686+147+427+163+229+293+3278+180+102+103+227+270+90+239+92</f>
        <v>15172</v>
      </c>
      <c r="O6" s="22"/>
      <c r="P6" s="22"/>
      <c r="Q6" s="22"/>
      <c r="R6" s="22">
        <v>4170</v>
      </c>
      <c r="S6" s="22"/>
      <c r="T6" s="22"/>
      <c r="U6" s="22"/>
      <c r="V6" s="22"/>
      <c r="W6" s="22"/>
      <c r="X6" s="22"/>
      <c r="Y6" s="22"/>
      <c r="Z6" s="22">
        <v>1265</v>
      </c>
      <c r="AA6" s="22"/>
      <c r="AB6" s="22"/>
      <c r="AC6" s="22"/>
    </row>
    <row r="7" spans="1:29" x14ac:dyDescent="0.2">
      <c r="A7" s="1" t="s">
        <v>16</v>
      </c>
      <c r="B7" s="22">
        <f>1470+540+535+135+800+1925+220+770+85+535+950+690</f>
        <v>8655</v>
      </c>
      <c r="C7" s="22"/>
      <c r="D7" s="22"/>
      <c r="E7" s="22"/>
      <c r="F7" s="22">
        <v>5250</v>
      </c>
      <c r="G7" s="22"/>
      <c r="H7" s="22"/>
      <c r="I7" s="125"/>
      <c r="J7" s="22">
        <f>560+385+430+215+360+135+6380+795+400+425+845+700+135+445+260</f>
        <v>12470</v>
      </c>
      <c r="K7" s="22"/>
      <c r="L7" s="22"/>
      <c r="M7" s="22"/>
      <c r="N7" s="22">
        <f>5326+467+445+439+1263+704+686+147+428+163+229+293+3279+181+102+103+227+270+90+239+92</f>
        <v>15173</v>
      </c>
      <c r="O7" s="22"/>
      <c r="P7" s="22"/>
      <c r="Q7" s="22"/>
      <c r="R7" s="22">
        <v>4170</v>
      </c>
      <c r="S7" s="22"/>
      <c r="T7" s="22"/>
      <c r="U7" s="22"/>
      <c r="V7" s="22"/>
      <c r="W7" s="22"/>
      <c r="X7" s="22"/>
      <c r="Y7" s="22"/>
      <c r="Z7" s="22">
        <v>1265</v>
      </c>
      <c r="AA7" s="22"/>
      <c r="AB7" s="22"/>
      <c r="AC7" s="22"/>
    </row>
    <row r="8" spans="1:29" x14ac:dyDescent="0.2">
      <c r="A8" s="1" t="s">
        <v>17</v>
      </c>
      <c r="B8" s="22">
        <f>1465+535+530+130+800+1925+220+770+80+530+950+685</f>
        <v>8620</v>
      </c>
      <c r="C8" s="22"/>
      <c r="D8" s="22"/>
      <c r="E8" s="22"/>
      <c r="F8" s="22">
        <v>5240</v>
      </c>
      <c r="G8" s="22"/>
      <c r="H8" s="22"/>
      <c r="I8" s="125"/>
      <c r="J8" s="22">
        <f>555+385+430+215+360+130+6375+795+395+425+840+700+130+445+255</f>
        <v>12435</v>
      </c>
      <c r="K8" s="22"/>
      <c r="L8" s="22"/>
      <c r="M8" s="22"/>
      <c r="N8" s="22">
        <f>5325+467+444+439+1262+703+685+146+428+163+228+293+3278+180+102+102+226+269+89+239+92</f>
        <v>15160</v>
      </c>
      <c r="O8" s="22"/>
      <c r="P8" s="22"/>
      <c r="Q8" s="22"/>
      <c r="R8" s="22">
        <v>4165</v>
      </c>
      <c r="S8" s="22"/>
      <c r="T8" s="22"/>
      <c r="U8" s="22"/>
      <c r="V8" s="22"/>
      <c r="W8" s="22"/>
      <c r="X8" s="22"/>
      <c r="Y8" s="22"/>
      <c r="Z8" s="22">
        <v>1265</v>
      </c>
      <c r="AA8" s="22"/>
      <c r="AB8" s="22"/>
      <c r="AC8" s="22"/>
    </row>
    <row r="9" spans="1:29" x14ac:dyDescent="0.2">
      <c r="A9" s="1" t="s">
        <v>18</v>
      </c>
      <c r="B9" s="22">
        <f>1465+540+535+135+800+1925+220+770+85+535+950+690</f>
        <v>8650</v>
      </c>
      <c r="C9" s="22"/>
      <c r="D9" s="22"/>
      <c r="E9" s="22"/>
      <c r="F9" s="22">
        <v>5255</v>
      </c>
      <c r="G9" s="22"/>
      <c r="H9" s="22"/>
      <c r="I9" s="125"/>
      <c r="J9" s="22">
        <f>560+385+430+215+360+135+6380+800+400+425+845+700+135+445+260</f>
        <v>12475</v>
      </c>
      <c r="K9" s="22"/>
      <c r="L9" s="22"/>
      <c r="M9" s="22"/>
      <c r="N9" s="22">
        <f>5325+467+444+440+1263+704+686+146+428+163+229+293+3278+180+102+103+227+269+90+239+92</f>
        <v>15168</v>
      </c>
      <c r="O9" s="22"/>
      <c r="P9" s="22"/>
      <c r="Q9" s="22"/>
      <c r="R9" s="22">
        <v>4170</v>
      </c>
      <c r="S9" s="22"/>
      <c r="T9" s="22"/>
      <c r="U9" s="22"/>
      <c r="V9" s="22"/>
      <c r="W9" s="22"/>
      <c r="X9" s="22"/>
      <c r="Y9" s="22"/>
      <c r="Z9" s="22">
        <v>1270</v>
      </c>
      <c r="AA9" s="22"/>
      <c r="AB9" s="22"/>
      <c r="AC9" s="22"/>
    </row>
    <row r="10" spans="1:29" x14ac:dyDescent="0.2">
      <c r="A10" s="18" t="s">
        <v>19</v>
      </c>
      <c r="B10" s="22">
        <v>9293</v>
      </c>
      <c r="C10" s="22"/>
      <c r="D10" s="22"/>
      <c r="E10" s="22"/>
      <c r="F10" s="22">
        <v>5251</v>
      </c>
      <c r="G10" s="22"/>
      <c r="H10" s="22"/>
      <c r="I10" s="125"/>
      <c r="J10" s="22">
        <v>61414</v>
      </c>
      <c r="K10" s="22"/>
      <c r="L10" s="22"/>
      <c r="M10" s="22"/>
      <c r="N10" s="22">
        <v>3316</v>
      </c>
      <c r="O10" s="22"/>
      <c r="P10" s="22"/>
      <c r="Q10" s="22"/>
      <c r="R10" s="22">
        <v>4312</v>
      </c>
      <c r="S10" s="22"/>
      <c r="T10" s="22"/>
      <c r="U10" s="22"/>
      <c r="V10" s="22"/>
      <c r="W10" s="22"/>
      <c r="X10" s="22"/>
      <c r="Y10" s="22"/>
      <c r="Z10" s="22">
        <v>5</v>
      </c>
      <c r="AA10" s="22"/>
      <c r="AB10" s="22"/>
      <c r="AC10" s="22"/>
    </row>
    <row r="11" spans="1:29" x14ac:dyDescent="0.2">
      <c r="A11" s="1" t="s">
        <v>10</v>
      </c>
      <c r="B11" s="22">
        <v>8446</v>
      </c>
      <c r="C11" s="22"/>
      <c r="D11" s="22"/>
      <c r="E11" s="22"/>
      <c r="F11" s="22">
        <v>5251</v>
      </c>
      <c r="G11" s="22"/>
      <c r="H11" s="22"/>
      <c r="I11" s="125"/>
      <c r="J11" s="22">
        <v>61415</v>
      </c>
      <c r="K11" s="22"/>
      <c r="L11" s="22"/>
      <c r="M11" s="22"/>
      <c r="N11" s="22">
        <v>3315</v>
      </c>
      <c r="O11" s="22"/>
      <c r="P11" s="22"/>
      <c r="Q11" s="22"/>
      <c r="R11" s="22">
        <v>4312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8447</v>
      </c>
      <c r="C12" s="22"/>
      <c r="D12" s="22"/>
      <c r="E12" s="22"/>
      <c r="F12" s="22">
        <v>5252</v>
      </c>
      <c r="G12" s="22"/>
      <c r="H12" s="22"/>
      <c r="I12" s="125"/>
      <c r="J12" s="22">
        <v>61416</v>
      </c>
      <c r="K12" s="22"/>
      <c r="L12" s="22"/>
      <c r="M12" s="22"/>
      <c r="N12" s="22">
        <v>3317</v>
      </c>
      <c r="O12" s="22"/>
      <c r="P12" s="22"/>
      <c r="Q12" s="22"/>
      <c r="R12" s="22">
        <v>4321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8448</v>
      </c>
      <c r="C13" s="22"/>
      <c r="D13" s="22"/>
      <c r="E13" s="22"/>
      <c r="F13" s="22">
        <v>5252</v>
      </c>
      <c r="G13" s="22"/>
      <c r="H13" s="22"/>
      <c r="I13" s="125"/>
      <c r="J13" s="22">
        <v>58893</v>
      </c>
      <c r="K13" s="22"/>
      <c r="L13" s="22"/>
      <c r="M13" s="22"/>
      <c r="N13" s="22">
        <v>3317</v>
      </c>
      <c r="O13" s="22"/>
      <c r="P13" s="22"/>
      <c r="Q13" s="22"/>
      <c r="R13" s="22">
        <v>4321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8442</v>
      </c>
      <c r="C14" s="22"/>
      <c r="D14" s="22"/>
      <c r="E14" s="22"/>
      <c r="F14" s="22">
        <v>5252</v>
      </c>
      <c r="G14" s="22"/>
      <c r="H14" s="22"/>
      <c r="I14" s="125"/>
      <c r="J14" s="22"/>
      <c r="K14" s="22"/>
      <c r="L14" s="22"/>
      <c r="M14" s="22"/>
      <c r="N14" s="22">
        <v>3317</v>
      </c>
      <c r="O14" s="22"/>
      <c r="P14" s="22"/>
      <c r="Q14" s="22"/>
      <c r="R14" s="22">
        <v>4315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8433</v>
      </c>
      <c r="C15" s="22"/>
      <c r="D15" s="22"/>
      <c r="E15" s="22"/>
      <c r="F15" s="22">
        <v>5252</v>
      </c>
      <c r="G15" s="22"/>
      <c r="H15" s="22"/>
      <c r="I15" s="125"/>
      <c r="J15" s="22"/>
      <c r="K15" s="22"/>
      <c r="L15" s="22"/>
      <c r="M15" s="22"/>
      <c r="N15" s="22">
        <v>21790</v>
      </c>
      <c r="O15" s="22"/>
      <c r="P15" s="22"/>
      <c r="Q15" s="22"/>
      <c r="R15" s="22">
        <v>41670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103352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63000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317918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V16" si="1">SUM(N4:N15)</f>
        <v>129370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88261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0</v>
      </c>
      <c r="W16" s="22">
        <f t="shared" ref="W16:AC16" si="2">SUM(W4:W15)</f>
        <v>0</v>
      </c>
      <c r="X16" s="22">
        <f t="shared" si="2"/>
        <v>0</v>
      </c>
      <c r="Y16" s="22">
        <f t="shared" si="2"/>
        <v>0</v>
      </c>
      <c r="Z16" s="22">
        <f t="shared" si="2"/>
        <v>7600</v>
      </c>
      <c r="AA16" s="22">
        <f t="shared" si="2"/>
        <v>0</v>
      </c>
      <c r="AB16" s="22">
        <f t="shared" si="2"/>
        <v>0</v>
      </c>
      <c r="AC16" s="22">
        <f t="shared" si="2"/>
        <v>0</v>
      </c>
    </row>
    <row r="17" spans="1:29" x14ac:dyDescent="0.2">
      <c r="A17" s="28" t="s">
        <v>28</v>
      </c>
      <c r="B17" s="30">
        <f>B4+B5</f>
        <v>17269</v>
      </c>
      <c r="C17" s="30">
        <f t="shared" ref="C17:L17" si="3">C4+C5</f>
        <v>0</v>
      </c>
      <c r="D17" s="30">
        <f t="shared" si="3"/>
        <v>0</v>
      </c>
      <c r="E17" s="30">
        <f>E4+E5</f>
        <v>0</v>
      </c>
      <c r="F17" s="30">
        <f t="shared" si="3"/>
        <v>10490</v>
      </c>
      <c r="G17" s="30">
        <f t="shared" si="3"/>
        <v>0</v>
      </c>
      <c r="H17" s="30">
        <f t="shared" si="3"/>
        <v>0</v>
      </c>
      <c r="I17" s="30">
        <f>I4+I5</f>
        <v>0</v>
      </c>
      <c r="J17" s="30">
        <f t="shared" si="3"/>
        <v>24910</v>
      </c>
      <c r="K17" s="30">
        <f t="shared" si="3"/>
        <v>0</v>
      </c>
      <c r="L17" s="30">
        <f t="shared" si="3"/>
        <v>0</v>
      </c>
      <c r="M17" s="30">
        <f t="shared" ref="M17:U17" si="4">M4+M5</f>
        <v>0</v>
      </c>
      <c r="N17" s="30">
        <f t="shared" si="4"/>
        <v>30325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4"/>
        <v>8335</v>
      </c>
      <c r="S17" s="30">
        <f t="shared" si="4"/>
        <v>0</v>
      </c>
      <c r="T17" s="30">
        <f t="shared" si="4"/>
        <v>0</v>
      </c>
      <c r="U17" s="30">
        <f t="shared" si="4"/>
        <v>0</v>
      </c>
      <c r="V17" s="30">
        <f t="shared" ref="V17:AC17" si="5">V4+V5</f>
        <v>0</v>
      </c>
      <c r="W17" s="30">
        <f t="shared" si="5"/>
        <v>0</v>
      </c>
      <c r="X17" s="30">
        <f t="shared" si="5"/>
        <v>0</v>
      </c>
      <c r="Y17" s="30">
        <f t="shared" si="5"/>
        <v>0</v>
      </c>
      <c r="Z17" s="30">
        <f t="shared" si="5"/>
        <v>2530</v>
      </c>
      <c r="AA17" s="30">
        <f t="shared" si="5"/>
        <v>0</v>
      </c>
      <c r="AB17" s="30">
        <f t="shared" si="5"/>
        <v>0</v>
      </c>
      <c r="AC17" s="30">
        <f t="shared" si="5"/>
        <v>0</v>
      </c>
    </row>
    <row r="18" spans="1:29" x14ac:dyDescent="0.2">
      <c r="A18" s="28" t="s">
        <v>96</v>
      </c>
      <c r="B18" s="30">
        <f t="shared" ref="B18:M27" si="6">B17+B6</f>
        <v>25918</v>
      </c>
      <c r="C18" s="30">
        <f t="shared" si="6"/>
        <v>0</v>
      </c>
      <c r="D18" s="30">
        <f t="shared" si="6"/>
        <v>0</v>
      </c>
      <c r="E18" s="30">
        <f t="shared" si="6"/>
        <v>0</v>
      </c>
      <c r="F18" s="30">
        <f t="shared" si="6"/>
        <v>15745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37400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ref="N18:N27" si="7">N17+N6</f>
        <v>45497</v>
      </c>
      <c r="O18" s="30">
        <f t="shared" ref="O18:O27" si="8">O17+O6</f>
        <v>0</v>
      </c>
      <c r="P18" s="30">
        <f t="shared" ref="P18:P27" si="9">P17+P6</f>
        <v>0</v>
      </c>
      <c r="Q18" s="30">
        <f t="shared" ref="Q18:Q27" si="10">Q17+Q6</f>
        <v>0</v>
      </c>
      <c r="R18" s="30">
        <f t="shared" ref="R18:R27" si="11">R17+R6</f>
        <v>12505</v>
      </c>
      <c r="S18" s="30">
        <f t="shared" ref="S18:S27" si="12">S17+S6</f>
        <v>0</v>
      </c>
      <c r="T18" s="30">
        <f t="shared" ref="T18:T27" si="13">T17+T6</f>
        <v>0</v>
      </c>
      <c r="U18" s="30">
        <f t="shared" ref="U18:U27" si="14">U17+U6</f>
        <v>0</v>
      </c>
      <c r="V18" s="30">
        <f t="shared" ref="V18:V27" si="15">V17+V6</f>
        <v>0</v>
      </c>
      <c r="W18" s="30">
        <f t="shared" ref="W18:W27" si="16">W17+W6</f>
        <v>0</v>
      </c>
      <c r="X18" s="30">
        <f t="shared" ref="X18:X27" si="17">X17+X6</f>
        <v>0</v>
      </c>
      <c r="Y18" s="30">
        <f t="shared" ref="Y18:Y27" si="18">Y17+Y6</f>
        <v>0</v>
      </c>
      <c r="Z18" s="30">
        <f t="shared" ref="Z18:Z27" si="19">Z17+Z6</f>
        <v>3795</v>
      </c>
      <c r="AA18" s="30">
        <f t="shared" ref="AA18:AA27" si="20">AA17+AA6</f>
        <v>0</v>
      </c>
      <c r="AB18" s="30">
        <f t="shared" ref="AB18:AB27" si="21">AB17+AB6</f>
        <v>0</v>
      </c>
      <c r="AC18" s="30">
        <f t="shared" ref="AC18:AC27" si="22">AC17+AC6</f>
        <v>0</v>
      </c>
    </row>
    <row r="19" spans="1:29" x14ac:dyDescent="0.2">
      <c r="A19" s="28" t="s">
        <v>29</v>
      </c>
      <c r="B19" s="30">
        <f t="shared" si="6"/>
        <v>34573</v>
      </c>
      <c r="C19" s="30">
        <f t="shared" si="6"/>
        <v>0</v>
      </c>
      <c r="D19" s="30">
        <f t="shared" si="6"/>
        <v>0</v>
      </c>
      <c r="E19" s="30">
        <f t="shared" si="6"/>
        <v>0</v>
      </c>
      <c r="F19" s="30">
        <f t="shared" si="6"/>
        <v>20995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49870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7"/>
        <v>60670</v>
      </c>
      <c r="O19" s="30">
        <f t="shared" si="8"/>
        <v>0</v>
      </c>
      <c r="P19" s="30">
        <f t="shared" si="9"/>
        <v>0</v>
      </c>
      <c r="Q19" s="30">
        <f t="shared" si="10"/>
        <v>0</v>
      </c>
      <c r="R19" s="30">
        <f t="shared" si="11"/>
        <v>16675</v>
      </c>
      <c r="S19" s="30">
        <f t="shared" si="12"/>
        <v>0</v>
      </c>
      <c r="T19" s="30">
        <f t="shared" si="13"/>
        <v>0</v>
      </c>
      <c r="U19" s="30">
        <f t="shared" si="14"/>
        <v>0</v>
      </c>
      <c r="V19" s="30">
        <f t="shared" si="15"/>
        <v>0</v>
      </c>
      <c r="W19" s="30">
        <f t="shared" si="16"/>
        <v>0</v>
      </c>
      <c r="X19" s="30">
        <f t="shared" si="17"/>
        <v>0</v>
      </c>
      <c r="Y19" s="30">
        <f t="shared" si="18"/>
        <v>0</v>
      </c>
      <c r="Z19" s="30">
        <f t="shared" si="19"/>
        <v>5060</v>
      </c>
      <c r="AA19" s="30">
        <f t="shared" si="20"/>
        <v>0</v>
      </c>
      <c r="AB19" s="30">
        <f t="shared" si="21"/>
        <v>0</v>
      </c>
      <c r="AC19" s="30">
        <f t="shared" si="22"/>
        <v>0</v>
      </c>
    </row>
    <row r="20" spans="1:29" x14ac:dyDescent="0.2">
      <c r="A20" s="28" t="s">
        <v>30</v>
      </c>
      <c r="B20" s="30">
        <f t="shared" si="6"/>
        <v>43193</v>
      </c>
      <c r="C20" s="30">
        <f t="shared" si="6"/>
        <v>0</v>
      </c>
      <c r="D20" s="30">
        <f t="shared" si="6"/>
        <v>0</v>
      </c>
      <c r="E20" s="30">
        <f t="shared" si="6"/>
        <v>0</v>
      </c>
      <c r="F20" s="30">
        <f t="shared" si="6"/>
        <v>26235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62305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7"/>
        <v>75830</v>
      </c>
      <c r="O20" s="30">
        <f t="shared" si="8"/>
        <v>0</v>
      </c>
      <c r="P20" s="30">
        <f t="shared" si="9"/>
        <v>0</v>
      </c>
      <c r="Q20" s="30">
        <f t="shared" si="10"/>
        <v>0</v>
      </c>
      <c r="R20" s="30">
        <f t="shared" si="11"/>
        <v>20840</v>
      </c>
      <c r="S20" s="30">
        <f t="shared" si="12"/>
        <v>0</v>
      </c>
      <c r="T20" s="30">
        <f t="shared" si="13"/>
        <v>0</v>
      </c>
      <c r="U20" s="30">
        <f t="shared" si="14"/>
        <v>0</v>
      </c>
      <c r="V20" s="30">
        <f t="shared" si="15"/>
        <v>0</v>
      </c>
      <c r="W20" s="30">
        <f t="shared" si="16"/>
        <v>0</v>
      </c>
      <c r="X20" s="30">
        <f t="shared" si="17"/>
        <v>0</v>
      </c>
      <c r="Y20" s="30">
        <f t="shared" si="18"/>
        <v>0</v>
      </c>
      <c r="Z20" s="30">
        <f t="shared" si="19"/>
        <v>6325</v>
      </c>
      <c r="AA20" s="30">
        <f t="shared" si="20"/>
        <v>0</v>
      </c>
      <c r="AB20" s="30">
        <f t="shared" si="21"/>
        <v>0</v>
      </c>
      <c r="AC20" s="30">
        <f t="shared" si="22"/>
        <v>0</v>
      </c>
    </row>
    <row r="21" spans="1:29" x14ac:dyDescent="0.2">
      <c r="A21" s="28" t="s">
        <v>31</v>
      </c>
      <c r="B21" s="30">
        <f t="shared" si="6"/>
        <v>51843</v>
      </c>
      <c r="C21" s="30">
        <f t="shared" si="6"/>
        <v>0</v>
      </c>
      <c r="D21" s="30">
        <f t="shared" si="6"/>
        <v>0</v>
      </c>
      <c r="E21" s="30">
        <f t="shared" si="6"/>
        <v>0</v>
      </c>
      <c r="F21" s="30">
        <f t="shared" si="6"/>
        <v>31490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74780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7"/>
        <v>90998</v>
      </c>
      <c r="O21" s="30">
        <f t="shared" si="8"/>
        <v>0</v>
      </c>
      <c r="P21" s="30">
        <f t="shared" si="9"/>
        <v>0</v>
      </c>
      <c r="Q21" s="30">
        <f t="shared" si="10"/>
        <v>0</v>
      </c>
      <c r="R21" s="30">
        <f t="shared" si="11"/>
        <v>25010</v>
      </c>
      <c r="S21" s="30">
        <f t="shared" si="12"/>
        <v>0</v>
      </c>
      <c r="T21" s="30">
        <f t="shared" si="13"/>
        <v>0</v>
      </c>
      <c r="U21" s="30">
        <f t="shared" si="14"/>
        <v>0</v>
      </c>
      <c r="V21" s="30">
        <f t="shared" si="15"/>
        <v>0</v>
      </c>
      <c r="W21" s="30">
        <f t="shared" si="16"/>
        <v>0</v>
      </c>
      <c r="X21" s="30">
        <f t="shared" si="17"/>
        <v>0</v>
      </c>
      <c r="Y21" s="30">
        <f t="shared" si="18"/>
        <v>0</v>
      </c>
      <c r="Z21" s="30">
        <f t="shared" si="19"/>
        <v>7595</v>
      </c>
      <c r="AA21" s="30">
        <f t="shared" si="20"/>
        <v>0</v>
      </c>
      <c r="AB21" s="30">
        <f t="shared" si="21"/>
        <v>0</v>
      </c>
      <c r="AC21" s="30">
        <f t="shared" si="22"/>
        <v>0</v>
      </c>
    </row>
    <row r="22" spans="1:29" x14ac:dyDescent="0.2">
      <c r="A22" s="28" t="s">
        <v>32</v>
      </c>
      <c r="B22" s="30">
        <f t="shared" si="6"/>
        <v>61136</v>
      </c>
      <c r="C22" s="30">
        <f t="shared" si="6"/>
        <v>0</v>
      </c>
      <c r="D22" s="30">
        <f t="shared" si="6"/>
        <v>0</v>
      </c>
      <c r="E22" s="30">
        <f t="shared" si="6"/>
        <v>0</v>
      </c>
      <c r="F22" s="30">
        <f t="shared" si="6"/>
        <v>36741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136194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7"/>
        <v>94314</v>
      </c>
      <c r="O22" s="30">
        <f t="shared" si="8"/>
        <v>0</v>
      </c>
      <c r="P22" s="30">
        <f t="shared" si="9"/>
        <v>0</v>
      </c>
      <c r="Q22" s="30">
        <f t="shared" si="10"/>
        <v>0</v>
      </c>
      <c r="R22" s="30">
        <f t="shared" si="11"/>
        <v>29322</v>
      </c>
      <c r="S22" s="30">
        <f t="shared" si="12"/>
        <v>0</v>
      </c>
      <c r="T22" s="30">
        <f t="shared" si="13"/>
        <v>0</v>
      </c>
      <c r="U22" s="30">
        <f t="shared" si="14"/>
        <v>0</v>
      </c>
      <c r="V22" s="30">
        <f t="shared" si="15"/>
        <v>0</v>
      </c>
      <c r="W22" s="30">
        <f t="shared" si="16"/>
        <v>0</v>
      </c>
      <c r="X22" s="30">
        <f t="shared" si="17"/>
        <v>0</v>
      </c>
      <c r="Y22" s="30">
        <f t="shared" si="18"/>
        <v>0</v>
      </c>
      <c r="Z22" s="30">
        <f t="shared" si="19"/>
        <v>7600</v>
      </c>
      <c r="AA22" s="30">
        <f t="shared" si="20"/>
        <v>0</v>
      </c>
      <c r="AB22" s="30">
        <f t="shared" si="21"/>
        <v>0</v>
      </c>
      <c r="AC22" s="30">
        <f t="shared" si="22"/>
        <v>0</v>
      </c>
    </row>
    <row r="23" spans="1:29" x14ac:dyDescent="0.2">
      <c r="A23" s="28" t="s">
        <v>33</v>
      </c>
      <c r="B23" s="30">
        <f t="shared" si="6"/>
        <v>69582</v>
      </c>
      <c r="C23" s="30">
        <f t="shared" si="6"/>
        <v>0</v>
      </c>
      <c r="D23" s="30">
        <f t="shared" si="6"/>
        <v>0</v>
      </c>
      <c r="E23" s="30">
        <f t="shared" si="6"/>
        <v>0</v>
      </c>
      <c r="F23" s="30">
        <f t="shared" si="6"/>
        <v>41992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197609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7"/>
        <v>97629</v>
      </c>
      <c r="O23" s="30">
        <f t="shared" si="8"/>
        <v>0</v>
      </c>
      <c r="P23" s="30">
        <f t="shared" si="9"/>
        <v>0</v>
      </c>
      <c r="Q23" s="30">
        <f t="shared" si="10"/>
        <v>0</v>
      </c>
      <c r="R23" s="30">
        <f t="shared" si="11"/>
        <v>33634</v>
      </c>
      <c r="S23" s="30">
        <f t="shared" si="12"/>
        <v>0</v>
      </c>
      <c r="T23" s="30">
        <f t="shared" si="13"/>
        <v>0</v>
      </c>
      <c r="U23" s="30">
        <f t="shared" si="14"/>
        <v>0</v>
      </c>
      <c r="V23" s="30">
        <f t="shared" si="15"/>
        <v>0</v>
      </c>
      <c r="W23" s="30">
        <f t="shared" si="16"/>
        <v>0</v>
      </c>
      <c r="X23" s="30">
        <f t="shared" si="17"/>
        <v>0</v>
      </c>
      <c r="Y23" s="30">
        <f t="shared" si="18"/>
        <v>0</v>
      </c>
      <c r="Z23" s="30">
        <f t="shared" si="19"/>
        <v>7600</v>
      </c>
      <c r="AA23" s="30">
        <f t="shared" si="20"/>
        <v>0</v>
      </c>
      <c r="AB23" s="30">
        <f t="shared" si="21"/>
        <v>0</v>
      </c>
      <c r="AC23" s="30">
        <f t="shared" si="22"/>
        <v>0</v>
      </c>
    </row>
    <row r="24" spans="1:29" x14ac:dyDescent="0.2">
      <c r="A24" s="28" t="s">
        <v>34</v>
      </c>
      <c r="B24" s="30">
        <f t="shared" si="6"/>
        <v>78029</v>
      </c>
      <c r="C24" s="30">
        <f t="shared" si="6"/>
        <v>0</v>
      </c>
      <c r="D24" s="30">
        <f t="shared" si="6"/>
        <v>0</v>
      </c>
      <c r="E24" s="30">
        <f t="shared" si="6"/>
        <v>0</v>
      </c>
      <c r="F24" s="30">
        <f t="shared" si="6"/>
        <v>47244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259025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7"/>
        <v>100946</v>
      </c>
      <c r="O24" s="30">
        <f t="shared" si="8"/>
        <v>0</v>
      </c>
      <c r="P24" s="30">
        <f t="shared" si="9"/>
        <v>0</v>
      </c>
      <c r="Q24" s="30">
        <f t="shared" si="10"/>
        <v>0</v>
      </c>
      <c r="R24" s="30">
        <f t="shared" si="11"/>
        <v>37955</v>
      </c>
      <c r="S24" s="30">
        <f t="shared" si="12"/>
        <v>0</v>
      </c>
      <c r="T24" s="30">
        <f t="shared" si="13"/>
        <v>0</v>
      </c>
      <c r="U24" s="30">
        <f t="shared" si="14"/>
        <v>0</v>
      </c>
      <c r="V24" s="30">
        <f t="shared" si="15"/>
        <v>0</v>
      </c>
      <c r="W24" s="30">
        <f t="shared" si="16"/>
        <v>0</v>
      </c>
      <c r="X24" s="30">
        <f t="shared" si="17"/>
        <v>0</v>
      </c>
      <c r="Y24" s="30">
        <f t="shared" si="18"/>
        <v>0</v>
      </c>
      <c r="Z24" s="30">
        <f t="shared" si="19"/>
        <v>7600</v>
      </c>
      <c r="AA24" s="30">
        <f t="shared" si="20"/>
        <v>0</v>
      </c>
      <c r="AB24" s="30">
        <f t="shared" si="21"/>
        <v>0</v>
      </c>
      <c r="AC24" s="30">
        <f t="shared" si="22"/>
        <v>0</v>
      </c>
    </row>
    <row r="25" spans="1:29" x14ac:dyDescent="0.2">
      <c r="A25" s="29" t="s">
        <v>35</v>
      </c>
      <c r="B25" s="30">
        <f t="shared" si="6"/>
        <v>86477</v>
      </c>
      <c r="C25" s="30">
        <f t="shared" si="6"/>
        <v>0</v>
      </c>
      <c r="D25" s="30">
        <f t="shared" si="6"/>
        <v>0</v>
      </c>
      <c r="E25" s="30">
        <f t="shared" si="6"/>
        <v>0</v>
      </c>
      <c r="F25" s="30">
        <f t="shared" si="6"/>
        <v>52496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317918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7"/>
        <v>104263</v>
      </c>
      <c r="O25" s="30">
        <f t="shared" si="8"/>
        <v>0</v>
      </c>
      <c r="P25" s="30">
        <f t="shared" si="9"/>
        <v>0</v>
      </c>
      <c r="Q25" s="30">
        <f t="shared" si="10"/>
        <v>0</v>
      </c>
      <c r="R25" s="30">
        <f t="shared" si="11"/>
        <v>42276</v>
      </c>
      <c r="S25" s="30">
        <f t="shared" si="12"/>
        <v>0</v>
      </c>
      <c r="T25" s="30">
        <f t="shared" si="13"/>
        <v>0</v>
      </c>
      <c r="U25" s="30">
        <f t="shared" si="14"/>
        <v>0</v>
      </c>
      <c r="V25" s="30">
        <f t="shared" si="15"/>
        <v>0</v>
      </c>
      <c r="W25" s="30">
        <f t="shared" si="16"/>
        <v>0</v>
      </c>
      <c r="X25" s="30">
        <f t="shared" si="17"/>
        <v>0</v>
      </c>
      <c r="Y25" s="30">
        <f t="shared" si="18"/>
        <v>0</v>
      </c>
      <c r="Z25" s="30">
        <f t="shared" si="19"/>
        <v>7600</v>
      </c>
      <c r="AA25" s="30">
        <f t="shared" si="20"/>
        <v>0</v>
      </c>
      <c r="AB25" s="30">
        <f t="shared" si="21"/>
        <v>0</v>
      </c>
      <c r="AC25" s="30">
        <f t="shared" si="22"/>
        <v>0</v>
      </c>
    </row>
    <row r="26" spans="1:29" x14ac:dyDescent="0.2">
      <c r="A26" s="29" t="s">
        <v>36</v>
      </c>
      <c r="B26" s="30">
        <f t="shared" si="6"/>
        <v>94919</v>
      </c>
      <c r="C26" s="30">
        <f t="shared" si="6"/>
        <v>0</v>
      </c>
      <c r="D26" s="30">
        <f t="shared" si="6"/>
        <v>0</v>
      </c>
      <c r="E26" s="30">
        <f t="shared" si="6"/>
        <v>0</v>
      </c>
      <c r="F26" s="30">
        <f t="shared" si="6"/>
        <v>57748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317918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7"/>
        <v>107580</v>
      </c>
      <c r="O26" s="30">
        <f t="shared" si="8"/>
        <v>0</v>
      </c>
      <c r="P26" s="30">
        <f t="shared" si="9"/>
        <v>0</v>
      </c>
      <c r="Q26" s="30">
        <f t="shared" si="10"/>
        <v>0</v>
      </c>
      <c r="R26" s="30">
        <f t="shared" si="11"/>
        <v>46591</v>
      </c>
      <c r="S26" s="30">
        <f t="shared" si="12"/>
        <v>0</v>
      </c>
      <c r="T26" s="30">
        <f t="shared" si="13"/>
        <v>0</v>
      </c>
      <c r="U26" s="30">
        <f t="shared" si="14"/>
        <v>0</v>
      </c>
      <c r="V26" s="30">
        <f t="shared" si="15"/>
        <v>0</v>
      </c>
      <c r="W26" s="30">
        <f t="shared" si="16"/>
        <v>0</v>
      </c>
      <c r="X26" s="30">
        <f t="shared" si="17"/>
        <v>0</v>
      </c>
      <c r="Y26" s="30">
        <f t="shared" si="18"/>
        <v>0</v>
      </c>
      <c r="Z26" s="30">
        <f t="shared" si="19"/>
        <v>7600</v>
      </c>
      <c r="AA26" s="30">
        <f t="shared" si="20"/>
        <v>0</v>
      </c>
      <c r="AB26" s="30">
        <f t="shared" si="21"/>
        <v>0</v>
      </c>
      <c r="AC26" s="30">
        <f t="shared" si="22"/>
        <v>0</v>
      </c>
    </row>
    <row r="27" spans="1:29" x14ac:dyDescent="0.2">
      <c r="A27" s="12" t="s">
        <v>15</v>
      </c>
      <c r="B27" s="32">
        <f t="shared" si="6"/>
        <v>103352</v>
      </c>
      <c r="C27" s="32">
        <f t="shared" si="6"/>
        <v>0</v>
      </c>
      <c r="D27" s="32">
        <f t="shared" si="6"/>
        <v>0</v>
      </c>
      <c r="E27" s="32">
        <f t="shared" si="6"/>
        <v>0</v>
      </c>
      <c r="F27" s="32">
        <f t="shared" si="6"/>
        <v>63000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317918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7"/>
        <v>129370</v>
      </c>
      <c r="O27" s="32">
        <f t="shared" si="8"/>
        <v>0</v>
      </c>
      <c r="P27" s="32">
        <f t="shared" si="9"/>
        <v>0</v>
      </c>
      <c r="Q27" s="32">
        <f t="shared" si="10"/>
        <v>0</v>
      </c>
      <c r="R27" s="32">
        <f t="shared" si="11"/>
        <v>88261</v>
      </c>
      <c r="S27" s="32">
        <f t="shared" si="12"/>
        <v>0</v>
      </c>
      <c r="T27" s="32">
        <f t="shared" si="13"/>
        <v>0</v>
      </c>
      <c r="U27" s="32">
        <f t="shared" si="14"/>
        <v>0</v>
      </c>
      <c r="V27" s="32">
        <f t="shared" si="15"/>
        <v>0</v>
      </c>
      <c r="W27" s="32">
        <f t="shared" si="16"/>
        <v>0</v>
      </c>
      <c r="X27" s="32">
        <f t="shared" si="17"/>
        <v>0</v>
      </c>
      <c r="Y27" s="32">
        <f t="shared" si="18"/>
        <v>0</v>
      </c>
      <c r="Z27" s="32">
        <f t="shared" si="19"/>
        <v>7600</v>
      </c>
      <c r="AA27" s="32">
        <f t="shared" si="20"/>
        <v>0</v>
      </c>
      <c r="AB27" s="32">
        <f t="shared" si="21"/>
        <v>0</v>
      </c>
      <c r="AC27" s="32">
        <f t="shared" si="22"/>
        <v>0</v>
      </c>
    </row>
    <row r="28" spans="1:29" x14ac:dyDescent="0.2">
      <c r="L28" s="16"/>
    </row>
    <row r="29" spans="1:29" x14ac:dyDescent="0.2">
      <c r="F29">
        <v>63000</v>
      </c>
      <c r="L29" s="16"/>
    </row>
    <row r="30" spans="1:29" x14ac:dyDescent="0.2">
      <c r="L30" s="16"/>
    </row>
  </sheetData>
  <mergeCells count="9">
    <mergeCell ref="W2:Y2"/>
    <mergeCell ref="AA2:AC2"/>
    <mergeCell ref="O2:Q2"/>
    <mergeCell ref="S2:U2"/>
    <mergeCell ref="B1:D1"/>
    <mergeCell ref="F1:H1"/>
    <mergeCell ref="K2:M2"/>
    <mergeCell ref="G2:I2"/>
    <mergeCell ref="C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G1" workbookViewId="0">
      <selection activeCell="J18" sqref="J18"/>
    </sheetView>
  </sheetViews>
  <sheetFormatPr defaultRowHeight="12.75" x14ac:dyDescent="0.2"/>
  <cols>
    <col min="1" max="1" width="12.28515625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</v>
      </c>
      <c r="L1" s="119"/>
      <c r="N1" s="19"/>
      <c r="O1" s="118" t="s">
        <v>192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/>
      <c r="C4" s="22"/>
      <c r="D4" s="22"/>
      <c r="E4" s="22"/>
      <c r="F4" s="22"/>
      <c r="G4" s="22"/>
      <c r="H4" s="22"/>
      <c r="I4" s="1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>
        <v>5309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/>
      <c r="C5" s="22"/>
      <c r="D5" s="22"/>
      <c r="E5" s="22"/>
      <c r="F5" s="22"/>
      <c r="G5" s="22"/>
      <c r="H5" s="22"/>
      <c r="I5" s="1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>
        <v>5309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/>
      <c r="C6" s="22"/>
      <c r="D6" s="22"/>
      <c r="E6" s="22"/>
      <c r="F6" s="22"/>
      <c r="G6" s="22"/>
      <c r="H6" s="22"/>
      <c r="I6" s="12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>
        <v>5309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/>
      <c r="C7" s="22"/>
      <c r="D7" s="22"/>
      <c r="E7" s="22"/>
      <c r="F7" s="22"/>
      <c r="G7" s="22"/>
      <c r="H7" s="22"/>
      <c r="I7" s="12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>
        <v>5309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/>
      <c r="C8" s="22"/>
      <c r="D8" s="22"/>
      <c r="E8" s="22"/>
      <c r="F8" s="22"/>
      <c r="G8" s="22"/>
      <c r="H8" s="22"/>
      <c r="I8" s="12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>
        <v>5309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/>
      <c r="C9" s="22"/>
      <c r="D9" s="22"/>
      <c r="E9" s="22"/>
      <c r="F9" s="22"/>
      <c r="G9" s="22"/>
      <c r="H9" s="22"/>
      <c r="I9" s="125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>
        <v>5309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/>
      <c r="C10" s="22"/>
      <c r="D10" s="22"/>
      <c r="E10" s="22"/>
      <c r="F10" s="22"/>
      <c r="G10" s="22"/>
      <c r="H10" s="22"/>
      <c r="I10" s="12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>
        <v>5309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/>
      <c r="C11" s="22"/>
      <c r="D11" s="22"/>
      <c r="E11" s="22"/>
      <c r="F11" s="22"/>
      <c r="G11" s="22"/>
      <c r="H11" s="22"/>
      <c r="I11" s="12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>
        <v>5310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/>
      <c r="C12" s="22"/>
      <c r="D12" s="22"/>
      <c r="E12" s="22"/>
      <c r="F12" s="22"/>
      <c r="G12" s="22"/>
      <c r="H12" s="22"/>
      <c r="I12" s="12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v>5310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/>
      <c r="C13" s="22"/>
      <c r="D13" s="22"/>
      <c r="E13" s="22"/>
      <c r="F13" s="22"/>
      <c r="G13" s="22"/>
      <c r="H13" s="22"/>
      <c r="I13" s="12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>
        <v>5310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/>
      <c r="C14" s="22"/>
      <c r="D14" s="22"/>
      <c r="E14" s="22"/>
      <c r="F14" s="22"/>
      <c r="G14" s="22"/>
      <c r="H14" s="22"/>
      <c r="I14" s="12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v>5310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/>
      <c r="C15" s="22"/>
      <c r="D15" s="22"/>
      <c r="E15" s="22"/>
      <c r="F15" s="22"/>
      <c r="G15" s="22"/>
      <c r="H15" s="22"/>
      <c r="I15" s="12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>
        <v>5310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63713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0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10618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15927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21236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26545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31854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37163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0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42473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0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47783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53093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58403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63713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S2:U2"/>
    <mergeCell ref="W2:Y2"/>
    <mergeCell ref="AA2:AC2"/>
    <mergeCell ref="B1:D1"/>
    <mergeCell ref="F1:H1"/>
    <mergeCell ref="G2:I2"/>
    <mergeCell ref="K2:M2"/>
    <mergeCell ref="C2:E2"/>
    <mergeCell ref="O2:Q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pane xSplit="1" ySplit="2" topLeftCell="B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6" width="8.85546875" hidden="1" customWidth="1"/>
    <col min="7" max="7" width="11" hidden="1" customWidth="1"/>
    <col min="8" max="9" width="9" hidden="1" customWidth="1"/>
  </cols>
  <sheetData>
    <row r="1" spans="1:27" x14ac:dyDescent="0.2">
      <c r="A1" s="2" t="s">
        <v>23</v>
      </c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363" t="s">
        <v>22</v>
      </c>
      <c r="K1" s="364"/>
      <c r="L1" s="364"/>
      <c r="M1" s="364"/>
      <c r="N1" s="363" t="s">
        <v>185</v>
      </c>
      <c r="O1" s="364"/>
      <c r="P1" s="364"/>
      <c r="Q1" s="364"/>
      <c r="R1" s="363" t="s">
        <v>193</v>
      </c>
      <c r="S1" s="364"/>
      <c r="T1" s="364"/>
      <c r="U1" s="364"/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17" t="s">
        <v>27</v>
      </c>
      <c r="L3" s="15" t="s">
        <v>26</v>
      </c>
      <c r="M3" s="121" t="s">
        <v>105</v>
      </c>
      <c r="N3" s="7"/>
      <c r="O3" s="17" t="s">
        <v>27</v>
      </c>
      <c r="P3" s="15" t="s">
        <v>26</v>
      </c>
      <c r="Q3" s="121" t="s">
        <v>105</v>
      </c>
      <c r="R3" s="7"/>
      <c r="S3" s="17" t="s">
        <v>27</v>
      </c>
      <c r="T3" s="15" t="s">
        <v>26</v>
      </c>
      <c r="U3" s="121" t="s">
        <v>105</v>
      </c>
    </row>
    <row r="4" spans="1:27" x14ac:dyDescent="0.2">
      <c r="A4" s="1" t="s">
        <v>4</v>
      </c>
      <c r="B4" s="22">
        <f>C4+D4</f>
        <v>0</v>
      </c>
      <c r="C4" s="22"/>
      <c r="D4" s="22"/>
      <c r="E4" s="22"/>
      <c r="F4" s="22">
        <f>G4+H4</f>
        <v>0</v>
      </c>
      <c r="G4" s="22"/>
      <c r="H4" s="22"/>
      <c r="I4" s="22"/>
      <c r="J4" s="22">
        <v>15000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7" x14ac:dyDescent="0.2">
      <c r="A5" s="1" t="s">
        <v>7</v>
      </c>
      <c r="B5" s="22">
        <f t="shared" ref="B5:B15" si="0">C5+D5</f>
        <v>0</v>
      </c>
      <c r="C5" s="22"/>
      <c r="D5" s="22"/>
      <c r="E5" s="22"/>
      <c r="F5" s="22">
        <f t="shared" ref="F5:F15" si="1">G5+H5</f>
        <v>0</v>
      </c>
      <c r="G5" s="22"/>
      <c r="H5" s="22"/>
      <c r="I5" s="22"/>
      <c r="J5" s="22">
        <v>16000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16000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16000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v>15700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16000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7" x14ac:dyDescent="0.2">
      <c r="A10" s="18" t="s">
        <v>19</v>
      </c>
      <c r="B10" s="104">
        <f t="shared" si="0"/>
        <v>0</v>
      </c>
      <c r="C10" s="84"/>
      <c r="D10" s="84"/>
      <c r="E10" s="84"/>
      <c r="F10" s="104">
        <f t="shared" si="1"/>
        <v>0</v>
      </c>
      <c r="G10" s="84"/>
      <c r="H10" s="84"/>
      <c r="I10" s="84"/>
      <c r="J10" s="22">
        <v>7000</v>
      </c>
      <c r="K10" s="22"/>
      <c r="L10" s="22"/>
      <c r="M10" s="22"/>
      <c r="N10" s="22">
        <v>2400</v>
      </c>
      <c r="O10" s="22"/>
      <c r="P10" s="22"/>
      <c r="Q10" s="22"/>
      <c r="R10" s="22">
        <v>85</v>
      </c>
      <c r="S10" s="22"/>
      <c r="T10" s="22"/>
      <c r="U10" s="22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7000</v>
      </c>
      <c r="K11" s="22"/>
      <c r="L11" s="22"/>
      <c r="M11" s="22"/>
      <c r="N11" s="22">
        <v>6100</v>
      </c>
      <c r="O11" s="22"/>
      <c r="P11" s="22"/>
      <c r="Q11" s="22"/>
      <c r="R11" s="22">
        <v>85</v>
      </c>
      <c r="S11" s="22"/>
      <c r="T11" s="22"/>
      <c r="U11" s="22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4200</v>
      </c>
      <c r="K12" s="22"/>
      <c r="L12" s="22"/>
      <c r="M12" s="22"/>
      <c r="N12" s="22">
        <v>6100</v>
      </c>
      <c r="O12" s="22"/>
      <c r="P12" s="22"/>
      <c r="Q12" s="22"/>
      <c r="R12" s="22">
        <v>85</v>
      </c>
      <c r="S12" s="22"/>
      <c r="T12" s="22"/>
      <c r="U12" s="22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4200</v>
      </c>
      <c r="K13" s="22"/>
      <c r="L13" s="22"/>
      <c r="M13" s="22"/>
      <c r="N13" s="22">
        <v>6100</v>
      </c>
      <c r="O13" s="22"/>
      <c r="P13" s="22"/>
      <c r="Q13" s="22"/>
      <c r="R13" s="22">
        <v>85</v>
      </c>
      <c r="S13" s="22"/>
      <c r="T13" s="22"/>
      <c r="U13" s="22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v>4200</v>
      </c>
      <c r="K14" s="22"/>
      <c r="L14" s="22"/>
      <c r="M14" s="22"/>
      <c r="N14" s="22">
        <v>6100</v>
      </c>
      <c r="O14" s="22"/>
      <c r="P14" s="22"/>
      <c r="Q14" s="22"/>
      <c r="R14" s="22">
        <v>85</v>
      </c>
      <c r="S14" s="22"/>
      <c r="T14" s="22"/>
      <c r="U14" s="22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v>4017</v>
      </c>
      <c r="K15" s="22"/>
      <c r="L15" s="22"/>
      <c r="M15" s="22"/>
      <c r="N15" s="22">
        <v>6036</v>
      </c>
      <c r="O15" s="22"/>
      <c r="P15" s="22"/>
      <c r="Q15" s="22"/>
      <c r="R15" s="22">
        <v>75</v>
      </c>
      <c r="S15" s="22"/>
      <c r="T15" s="22"/>
      <c r="U15" s="22"/>
    </row>
    <row r="16" spans="1:27" x14ac:dyDescent="0.2">
      <c r="A16" s="1" t="s">
        <v>6</v>
      </c>
      <c r="B16" s="22">
        <f>SUM(B4:B15)</f>
        <v>0</v>
      </c>
      <c r="C16" s="22">
        <f t="shared" ref="C16:M16" si="2">SUM(C4:C15)</f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125317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ref="N16:U16" si="3">SUM(N4:N15)</f>
        <v>32836</v>
      </c>
      <c r="O16" s="22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500</v>
      </c>
      <c r="S16" s="22">
        <f t="shared" si="3"/>
        <v>0</v>
      </c>
      <c r="T16" s="22">
        <f t="shared" si="3"/>
        <v>0</v>
      </c>
      <c r="U16" s="22">
        <f t="shared" si="3"/>
        <v>0</v>
      </c>
    </row>
    <row r="17" spans="1:21" x14ac:dyDescent="0.2">
      <c r="A17" s="28" t="s">
        <v>28</v>
      </c>
      <c r="B17" s="30">
        <f>B4+B5</f>
        <v>0</v>
      </c>
      <c r="C17" s="30">
        <f t="shared" ref="C17:L17" si="4">C4+C5</f>
        <v>0</v>
      </c>
      <c r="D17" s="30">
        <f t="shared" si="4"/>
        <v>0</v>
      </c>
      <c r="E17" s="30"/>
      <c r="F17" s="30">
        <f t="shared" si="4"/>
        <v>0</v>
      </c>
      <c r="G17" s="30">
        <f t="shared" si="4"/>
        <v>0</v>
      </c>
      <c r="H17" s="30">
        <f t="shared" si="4"/>
        <v>0</v>
      </c>
      <c r="I17" s="30"/>
      <c r="J17" s="30">
        <f t="shared" si="4"/>
        <v>31000</v>
      </c>
      <c r="K17" s="30">
        <f t="shared" si="4"/>
        <v>0</v>
      </c>
      <c r="L17" s="30">
        <f t="shared" si="4"/>
        <v>0</v>
      </c>
      <c r="M17" s="30">
        <f t="shared" ref="M17:U17" si="5">M4+M5</f>
        <v>0</v>
      </c>
      <c r="N17" s="30">
        <f t="shared" si="5"/>
        <v>0</v>
      </c>
      <c r="O17" s="30">
        <f t="shared" si="5"/>
        <v>0</v>
      </c>
      <c r="P17" s="30">
        <f t="shared" si="5"/>
        <v>0</v>
      </c>
      <c r="Q17" s="30">
        <f t="shared" si="5"/>
        <v>0</v>
      </c>
      <c r="R17" s="30">
        <f t="shared" si="5"/>
        <v>0</v>
      </c>
      <c r="S17" s="30">
        <f t="shared" si="5"/>
        <v>0</v>
      </c>
      <c r="T17" s="30">
        <f t="shared" si="5"/>
        <v>0</v>
      </c>
      <c r="U17" s="30">
        <f t="shared" si="5"/>
        <v>0</v>
      </c>
    </row>
    <row r="18" spans="1:21" x14ac:dyDescent="0.2">
      <c r="A18" s="28" t="s">
        <v>96</v>
      </c>
      <c r="B18" s="30">
        <f t="shared" ref="B18:M18" si="6">B17+B6</f>
        <v>0</v>
      </c>
      <c r="C18" s="30">
        <f t="shared" si="6"/>
        <v>0</v>
      </c>
      <c r="D18" s="30">
        <f t="shared" si="6"/>
        <v>0</v>
      </c>
      <c r="E18" s="30"/>
      <c r="F18" s="30">
        <f t="shared" si="6"/>
        <v>0</v>
      </c>
      <c r="G18" s="30">
        <f t="shared" si="6"/>
        <v>0</v>
      </c>
      <c r="H18" s="30">
        <f t="shared" si="6"/>
        <v>0</v>
      </c>
      <c r="I18" s="30"/>
      <c r="J18" s="30">
        <f t="shared" si="6"/>
        <v>47000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ref="N18:N27" si="7">N17+N6</f>
        <v>0</v>
      </c>
      <c r="O18" s="30">
        <f t="shared" ref="O18:O27" si="8">O17+O6</f>
        <v>0</v>
      </c>
      <c r="P18" s="30">
        <f t="shared" ref="P18:P27" si="9">P17+P6</f>
        <v>0</v>
      </c>
      <c r="Q18" s="30">
        <f t="shared" ref="Q18:Q27" si="10">Q17+Q6</f>
        <v>0</v>
      </c>
      <c r="R18" s="30">
        <f t="shared" ref="R18:R27" si="11">R17+R6</f>
        <v>0</v>
      </c>
      <c r="S18" s="30">
        <f t="shared" ref="S18:S27" si="12">S17+S6</f>
        <v>0</v>
      </c>
      <c r="T18" s="30">
        <f t="shared" ref="T18:T27" si="13">T17+T6</f>
        <v>0</v>
      </c>
      <c r="U18" s="30">
        <f t="shared" ref="U18:U27" si="14">U17+U6</f>
        <v>0</v>
      </c>
    </row>
    <row r="19" spans="1:21" x14ac:dyDescent="0.2">
      <c r="A19" s="28" t="s">
        <v>29</v>
      </c>
      <c r="B19" s="30">
        <f t="shared" ref="B19:B27" si="15">B18+B7</f>
        <v>0</v>
      </c>
      <c r="C19" s="30">
        <f t="shared" ref="C19:C27" si="16">C18+C7</f>
        <v>0</v>
      </c>
      <c r="D19" s="30">
        <f t="shared" ref="D19:D27" si="17">D18+D7</f>
        <v>0</v>
      </c>
      <c r="E19" s="30"/>
      <c r="F19" s="30">
        <f t="shared" ref="F19:F27" si="18">F18+F7</f>
        <v>0</v>
      </c>
      <c r="G19" s="30">
        <f t="shared" ref="G19:G27" si="19">G18+G7</f>
        <v>0</v>
      </c>
      <c r="H19" s="30">
        <f t="shared" ref="H19:H27" si="20">H18+H7</f>
        <v>0</v>
      </c>
      <c r="I19" s="30"/>
      <c r="J19" s="30">
        <f t="shared" ref="J19:J27" si="21">J18+J7</f>
        <v>63000</v>
      </c>
      <c r="K19" s="30">
        <f t="shared" ref="K19:K27" si="22">K18+K7</f>
        <v>0</v>
      </c>
      <c r="L19" s="30">
        <f t="shared" ref="L19:M27" si="23">L18+L7</f>
        <v>0</v>
      </c>
      <c r="M19" s="30">
        <f t="shared" si="23"/>
        <v>0</v>
      </c>
      <c r="N19" s="30">
        <f t="shared" si="7"/>
        <v>0</v>
      </c>
      <c r="O19" s="30">
        <f t="shared" si="8"/>
        <v>0</v>
      </c>
      <c r="P19" s="30">
        <f t="shared" si="9"/>
        <v>0</v>
      </c>
      <c r="Q19" s="30">
        <f t="shared" si="10"/>
        <v>0</v>
      </c>
      <c r="R19" s="30">
        <f t="shared" si="11"/>
        <v>0</v>
      </c>
      <c r="S19" s="30">
        <f t="shared" si="12"/>
        <v>0</v>
      </c>
      <c r="T19" s="30">
        <f t="shared" si="13"/>
        <v>0</v>
      </c>
      <c r="U19" s="30">
        <f t="shared" si="14"/>
        <v>0</v>
      </c>
    </row>
    <row r="20" spans="1:21" x14ac:dyDescent="0.2">
      <c r="A20" s="28" t="s">
        <v>30</v>
      </c>
      <c r="B20" s="30">
        <f t="shared" si="15"/>
        <v>0</v>
      </c>
      <c r="C20" s="30">
        <f t="shared" si="16"/>
        <v>0</v>
      </c>
      <c r="D20" s="30">
        <f t="shared" si="17"/>
        <v>0</v>
      </c>
      <c r="E20" s="30"/>
      <c r="F20" s="30">
        <f t="shared" si="18"/>
        <v>0</v>
      </c>
      <c r="G20" s="30">
        <f t="shared" si="19"/>
        <v>0</v>
      </c>
      <c r="H20" s="30">
        <f t="shared" si="20"/>
        <v>0</v>
      </c>
      <c r="I20" s="30"/>
      <c r="J20" s="30">
        <f t="shared" si="21"/>
        <v>78700</v>
      </c>
      <c r="K20" s="30">
        <f t="shared" si="22"/>
        <v>0</v>
      </c>
      <c r="L20" s="30">
        <f t="shared" si="23"/>
        <v>0</v>
      </c>
      <c r="M20" s="30">
        <f t="shared" si="23"/>
        <v>0</v>
      </c>
      <c r="N20" s="30">
        <f t="shared" si="7"/>
        <v>0</v>
      </c>
      <c r="O20" s="30">
        <f t="shared" si="8"/>
        <v>0</v>
      </c>
      <c r="P20" s="30">
        <f t="shared" si="9"/>
        <v>0</v>
      </c>
      <c r="Q20" s="30">
        <f t="shared" si="10"/>
        <v>0</v>
      </c>
      <c r="R20" s="30">
        <f t="shared" si="11"/>
        <v>0</v>
      </c>
      <c r="S20" s="30">
        <f t="shared" si="12"/>
        <v>0</v>
      </c>
      <c r="T20" s="30">
        <f t="shared" si="13"/>
        <v>0</v>
      </c>
      <c r="U20" s="30">
        <f t="shared" si="14"/>
        <v>0</v>
      </c>
    </row>
    <row r="21" spans="1:21" x14ac:dyDescent="0.2">
      <c r="A21" s="28" t="s">
        <v>31</v>
      </c>
      <c r="B21" s="30">
        <f t="shared" si="15"/>
        <v>0</v>
      </c>
      <c r="C21" s="30">
        <f t="shared" si="16"/>
        <v>0</v>
      </c>
      <c r="D21" s="30">
        <f t="shared" si="17"/>
        <v>0</v>
      </c>
      <c r="E21" s="30"/>
      <c r="F21" s="30">
        <f t="shared" si="18"/>
        <v>0</v>
      </c>
      <c r="G21" s="30">
        <f t="shared" si="19"/>
        <v>0</v>
      </c>
      <c r="H21" s="30">
        <f t="shared" si="20"/>
        <v>0</v>
      </c>
      <c r="I21" s="30"/>
      <c r="J21" s="30">
        <f t="shared" si="21"/>
        <v>94700</v>
      </c>
      <c r="K21" s="30">
        <f t="shared" si="22"/>
        <v>0</v>
      </c>
      <c r="L21" s="30">
        <f t="shared" si="23"/>
        <v>0</v>
      </c>
      <c r="M21" s="30">
        <f t="shared" si="23"/>
        <v>0</v>
      </c>
      <c r="N21" s="30">
        <f t="shared" si="7"/>
        <v>0</v>
      </c>
      <c r="O21" s="30">
        <f t="shared" si="8"/>
        <v>0</v>
      </c>
      <c r="P21" s="30">
        <f t="shared" si="9"/>
        <v>0</v>
      </c>
      <c r="Q21" s="30">
        <f t="shared" si="10"/>
        <v>0</v>
      </c>
      <c r="R21" s="30">
        <f t="shared" si="11"/>
        <v>0</v>
      </c>
      <c r="S21" s="30">
        <f t="shared" si="12"/>
        <v>0</v>
      </c>
      <c r="T21" s="30">
        <f t="shared" si="13"/>
        <v>0</v>
      </c>
      <c r="U21" s="30">
        <f t="shared" si="14"/>
        <v>0</v>
      </c>
    </row>
    <row r="22" spans="1:21" x14ac:dyDescent="0.2">
      <c r="A22" s="28" t="s">
        <v>32</v>
      </c>
      <c r="B22" s="30">
        <f t="shared" si="15"/>
        <v>0</v>
      </c>
      <c r="C22" s="30">
        <f t="shared" si="16"/>
        <v>0</v>
      </c>
      <c r="D22" s="30">
        <f t="shared" si="17"/>
        <v>0</v>
      </c>
      <c r="E22" s="30"/>
      <c r="F22" s="30">
        <f t="shared" si="18"/>
        <v>0</v>
      </c>
      <c r="G22" s="30">
        <f t="shared" si="19"/>
        <v>0</v>
      </c>
      <c r="H22" s="30">
        <f t="shared" si="20"/>
        <v>0</v>
      </c>
      <c r="I22" s="30"/>
      <c r="J22" s="30">
        <f t="shared" si="21"/>
        <v>101700</v>
      </c>
      <c r="K22" s="30">
        <f t="shared" si="22"/>
        <v>0</v>
      </c>
      <c r="L22" s="30">
        <f t="shared" si="23"/>
        <v>0</v>
      </c>
      <c r="M22" s="30">
        <f t="shared" si="23"/>
        <v>0</v>
      </c>
      <c r="N22" s="30">
        <f t="shared" si="7"/>
        <v>2400</v>
      </c>
      <c r="O22" s="30">
        <f t="shared" si="8"/>
        <v>0</v>
      </c>
      <c r="P22" s="30">
        <f t="shared" si="9"/>
        <v>0</v>
      </c>
      <c r="Q22" s="30">
        <f t="shared" si="10"/>
        <v>0</v>
      </c>
      <c r="R22" s="30">
        <f t="shared" si="11"/>
        <v>85</v>
      </c>
      <c r="S22" s="30">
        <f t="shared" si="12"/>
        <v>0</v>
      </c>
      <c r="T22" s="30">
        <f t="shared" si="13"/>
        <v>0</v>
      </c>
      <c r="U22" s="30">
        <f t="shared" si="14"/>
        <v>0</v>
      </c>
    </row>
    <row r="23" spans="1:21" x14ac:dyDescent="0.2">
      <c r="A23" s="28" t="s">
        <v>33</v>
      </c>
      <c r="B23" s="30">
        <f t="shared" si="15"/>
        <v>0</v>
      </c>
      <c r="C23" s="30">
        <f t="shared" si="16"/>
        <v>0</v>
      </c>
      <c r="D23" s="30">
        <f t="shared" si="17"/>
        <v>0</v>
      </c>
      <c r="E23" s="30"/>
      <c r="F23" s="30">
        <f t="shared" si="18"/>
        <v>0</v>
      </c>
      <c r="G23" s="30">
        <f t="shared" si="19"/>
        <v>0</v>
      </c>
      <c r="H23" s="30">
        <f t="shared" si="20"/>
        <v>0</v>
      </c>
      <c r="I23" s="30"/>
      <c r="J23" s="30">
        <f t="shared" si="21"/>
        <v>108700</v>
      </c>
      <c r="K23" s="30">
        <f t="shared" si="22"/>
        <v>0</v>
      </c>
      <c r="L23" s="30">
        <f t="shared" si="23"/>
        <v>0</v>
      </c>
      <c r="M23" s="30">
        <f t="shared" si="23"/>
        <v>0</v>
      </c>
      <c r="N23" s="30">
        <f t="shared" si="7"/>
        <v>8500</v>
      </c>
      <c r="O23" s="30">
        <f t="shared" si="8"/>
        <v>0</v>
      </c>
      <c r="P23" s="30">
        <f t="shared" si="9"/>
        <v>0</v>
      </c>
      <c r="Q23" s="30">
        <f t="shared" si="10"/>
        <v>0</v>
      </c>
      <c r="R23" s="30">
        <f t="shared" si="11"/>
        <v>170</v>
      </c>
      <c r="S23" s="30">
        <f t="shared" si="12"/>
        <v>0</v>
      </c>
      <c r="T23" s="30">
        <f t="shared" si="13"/>
        <v>0</v>
      </c>
      <c r="U23" s="30">
        <f t="shared" si="14"/>
        <v>0</v>
      </c>
    </row>
    <row r="24" spans="1:21" x14ac:dyDescent="0.2">
      <c r="A24" s="28" t="s">
        <v>34</v>
      </c>
      <c r="B24" s="30">
        <f t="shared" si="15"/>
        <v>0</v>
      </c>
      <c r="C24" s="30">
        <f t="shared" si="16"/>
        <v>0</v>
      </c>
      <c r="D24" s="30">
        <f t="shared" si="17"/>
        <v>0</v>
      </c>
      <c r="E24" s="30"/>
      <c r="F24" s="30">
        <f t="shared" si="18"/>
        <v>0</v>
      </c>
      <c r="G24" s="30">
        <f t="shared" si="19"/>
        <v>0</v>
      </c>
      <c r="H24" s="30">
        <f t="shared" si="20"/>
        <v>0</v>
      </c>
      <c r="I24" s="30"/>
      <c r="J24" s="30">
        <f t="shared" si="21"/>
        <v>112900</v>
      </c>
      <c r="K24" s="30">
        <f t="shared" si="22"/>
        <v>0</v>
      </c>
      <c r="L24" s="30">
        <f t="shared" si="23"/>
        <v>0</v>
      </c>
      <c r="M24" s="30">
        <f t="shared" si="23"/>
        <v>0</v>
      </c>
      <c r="N24" s="30">
        <f t="shared" si="7"/>
        <v>14600</v>
      </c>
      <c r="O24" s="30">
        <f t="shared" si="8"/>
        <v>0</v>
      </c>
      <c r="P24" s="30">
        <f t="shared" si="9"/>
        <v>0</v>
      </c>
      <c r="Q24" s="30">
        <f t="shared" si="10"/>
        <v>0</v>
      </c>
      <c r="R24" s="30">
        <f t="shared" si="11"/>
        <v>255</v>
      </c>
      <c r="S24" s="30">
        <f t="shared" si="12"/>
        <v>0</v>
      </c>
      <c r="T24" s="30">
        <f t="shared" si="13"/>
        <v>0</v>
      </c>
      <c r="U24" s="30">
        <f t="shared" si="14"/>
        <v>0</v>
      </c>
    </row>
    <row r="25" spans="1:21" x14ac:dyDescent="0.2">
      <c r="A25" s="29" t="s">
        <v>35</v>
      </c>
      <c r="B25" s="31">
        <f t="shared" si="15"/>
        <v>0</v>
      </c>
      <c r="C25" s="31">
        <f t="shared" si="16"/>
        <v>0</v>
      </c>
      <c r="D25" s="31">
        <f t="shared" si="17"/>
        <v>0</v>
      </c>
      <c r="E25" s="31"/>
      <c r="F25" s="31">
        <f t="shared" si="18"/>
        <v>0</v>
      </c>
      <c r="G25" s="31">
        <f t="shared" si="19"/>
        <v>0</v>
      </c>
      <c r="H25" s="31">
        <f t="shared" si="20"/>
        <v>0</v>
      </c>
      <c r="I25" s="31"/>
      <c r="J25" s="31">
        <f t="shared" si="21"/>
        <v>117100</v>
      </c>
      <c r="K25" s="31">
        <f t="shared" si="22"/>
        <v>0</v>
      </c>
      <c r="L25" s="31">
        <f t="shared" si="23"/>
        <v>0</v>
      </c>
      <c r="M25" s="31">
        <f t="shared" si="23"/>
        <v>0</v>
      </c>
      <c r="N25" s="31">
        <f t="shared" si="7"/>
        <v>20700</v>
      </c>
      <c r="O25" s="31">
        <f t="shared" si="8"/>
        <v>0</v>
      </c>
      <c r="P25" s="31">
        <f t="shared" si="9"/>
        <v>0</v>
      </c>
      <c r="Q25" s="31">
        <f t="shared" si="10"/>
        <v>0</v>
      </c>
      <c r="R25" s="31">
        <f t="shared" si="11"/>
        <v>340</v>
      </c>
      <c r="S25" s="31">
        <f t="shared" si="12"/>
        <v>0</v>
      </c>
      <c r="T25" s="31">
        <f t="shared" si="13"/>
        <v>0</v>
      </c>
      <c r="U25" s="31">
        <f t="shared" si="14"/>
        <v>0</v>
      </c>
    </row>
    <row r="26" spans="1:21" x14ac:dyDescent="0.2">
      <c r="A26" s="29" t="s">
        <v>36</v>
      </c>
      <c r="B26" s="31">
        <f t="shared" si="15"/>
        <v>0</v>
      </c>
      <c r="C26" s="31">
        <f t="shared" si="16"/>
        <v>0</v>
      </c>
      <c r="D26" s="31">
        <f t="shared" si="17"/>
        <v>0</v>
      </c>
      <c r="E26" s="31"/>
      <c r="F26" s="31">
        <f t="shared" si="18"/>
        <v>0</v>
      </c>
      <c r="G26" s="31">
        <f t="shared" si="19"/>
        <v>0</v>
      </c>
      <c r="H26" s="31">
        <f t="shared" si="20"/>
        <v>0</v>
      </c>
      <c r="I26" s="31"/>
      <c r="J26" s="31">
        <f t="shared" si="21"/>
        <v>121300</v>
      </c>
      <c r="K26" s="31">
        <f t="shared" si="22"/>
        <v>0</v>
      </c>
      <c r="L26" s="31">
        <f t="shared" si="23"/>
        <v>0</v>
      </c>
      <c r="M26" s="31">
        <f t="shared" si="23"/>
        <v>0</v>
      </c>
      <c r="N26" s="31">
        <f t="shared" si="7"/>
        <v>26800</v>
      </c>
      <c r="O26" s="31">
        <f t="shared" si="8"/>
        <v>0</v>
      </c>
      <c r="P26" s="31">
        <f t="shared" si="9"/>
        <v>0</v>
      </c>
      <c r="Q26" s="31">
        <f t="shared" si="10"/>
        <v>0</v>
      </c>
      <c r="R26" s="31">
        <f t="shared" si="11"/>
        <v>425</v>
      </c>
      <c r="S26" s="31">
        <f t="shared" si="12"/>
        <v>0</v>
      </c>
      <c r="T26" s="31">
        <f t="shared" si="13"/>
        <v>0</v>
      </c>
      <c r="U26" s="31">
        <f t="shared" si="14"/>
        <v>0</v>
      </c>
    </row>
    <row r="27" spans="1:21" x14ac:dyDescent="0.2">
      <c r="A27" s="12" t="s">
        <v>15</v>
      </c>
      <c r="B27" s="32">
        <f t="shared" si="15"/>
        <v>0</v>
      </c>
      <c r="C27" s="32">
        <f t="shared" si="16"/>
        <v>0</v>
      </c>
      <c r="D27" s="32">
        <f t="shared" si="17"/>
        <v>0</v>
      </c>
      <c r="E27" s="32"/>
      <c r="F27" s="32">
        <f t="shared" si="18"/>
        <v>0</v>
      </c>
      <c r="G27" s="32">
        <f t="shared" si="19"/>
        <v>0</v>
      </c>
      <c r="H27" s="32">
        <f t="shared" si="20"/>
        <v>0</v>
      </c>
      <c r="I27" s="32"/>
      <c r="J27" s="32">
        <f t="shared" si="21"/>
        <v>125317</v>
      </c>
      <c r="K27" s="32">
        <f t="shared" si="22"/>
        <v>0</v>
      </c>
      <c r="L27" s="32">
        <f t="shared" si="23"/>
        <v>0</v>
      </c>
      <c r="M27" s="32">
        <f t="shared" si="23"/>
        <v>0</v>
      </c>
      <c r="N27" s="32">
        <f t="shared" si="7"/>
        <v>32836</v>
      </c>
      <c r="O27" s="32">
        <f t="shared" si="8"/>
        <v>0</v>
      </c>
      <c r="P27" s="32">
        <f t="shared" si="9"/>
        <v>0</v>
      </c>
      <c r="Q27" s="32">
        <f t="shared" si="10"/>
        <v>0</v>
      </c>
      <c r="R27" s="32">
        <f t="shared" si="11"/>
        <v>500</v>
      </c>
      <c r="S27" s="32">
        <f t="shared" si="12"/>
        <v>0</v>
      </c>
      <c r="T27" s="32">
        <f t="shared" si="13"/>
        <v>0</v>
      </c>
      <c r="U27" s="32">
        <f t="shared" si="14"/>
        <v>0</v>
      </c>
    </row>
  </sheetData>
  <mergeCells count="10">
    <mergeCell ref="N1:Q1"/>
    <mergeCell ref="O2:Q2"/>
    <mergeCell ref="R1:U1"/>
    <mergeCell ref="S2:U2"/>
    <mergeCell ref="K2:M2"/>
    <mergeCell ref="J1:M1"/>
    <mergeCell ref="C2:D2"/>
    <mergeCell ref="G2:H2"/>
    <mergeCell ref="B1:D1"/>
    <mergeCell ref="F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2" ySplit="3" topLeftCell="M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6" width="0" hidden="1" customWidth="1"/>
    <col min="7" max="7" width="11" hidden="1" customWidth="1"/>
    <col min="8" max="9" width="9" hidden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117"/>
      <c r="J1" s="366" t="s">
        <v>22</v>
      </c>
      <c r="K1" s="365"/>
      <c r="L1" s="365"/>
      <c r="M1" s="365"/>
      <c r="N1" s="19"/>
      <c r="O1" s="24" t="s">
        <v>185</v>
      </c>
      <c r="P1" s="25"/>
      <c r="Q1" s="116"/>
      <c r="S1" t="s">
        <v>193</v>
      </c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67" t="s">
        <v>25</v>
      </c>
      <c r="L2" s="368"/>
      <c r="M2" s="369"/>
      <c r="N2" s="5" t="s">
        <v>6</v>
      </c>
      <c r="O2" s="366" t="s">
        <v>25</v>
      </c>
      <c r="P2" s="365"/>
      <c r="Q2" s="365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17" t="s">
        <v>27</v>
      </c>
      <c r="L3" s="15" t="s">
        <v>26</v>
      </c>
      <c r="M3" s="15" t="s">
        <v>105</v>
      </c>
      <c r="N3" s="7"/>
      <c r="O3" s="19" t="s">
        <v>27</v>
      </c>
      <c r="P3" s="21" t="s">
        <v>26</v>
      </c>
      <c r="Q3" s="115" t="s">
        <v>105</v>
      </c>
    </row>
    <row r="4" spans="1:27" x14ac:dyDescent="0.2">
      <c r="A4" s="1" t="s">
        <v>4</v>
      </c>
      <c r="B4" s="22">
        <f>C4+D4</f>
        <v>0</v>
      </c>
      <c r="C4" s="22"/>
      <c r="D4" s="22"/>
      <c r="E4" s="22"/>
      <c r="F4" s="22">
        <f>G4+H4</f>
        <v>0</v>
      </c>
      <c r="G4" s="22"/>
      <c r="H4" s="22"/>
      <c r="I4" s="22"/>
      <c r="J4" s="22">
        <v>25180</v>
      </c>
      <c r="K4" s="22"/>
      <c r="L4" s="22"/>
      <c r="M4" s="22"/>
      <c r="N4" s="22"/>
      <c r="O4" s="27"/>
      <c r="P4" s="27"/>
      <c r="Q4" s="22"/>
    </row>
    <row r="5" spans="1:27" x14ac:dyDescent="0.2">
      <c r="A5" s="1" t="s">
        <v>7</v>
      </c>
      <c r="B5" s="22">
        <f t="shared" ref="B5:B15" si="0">C5+D5</f>
        <v>0</v>
      </c>
      <c r="C5" s="22"/>
      <c r="D5" s="22"/>
      <c r="E5" s="22"/>
      <c r="F5" s="22">
        <f t="shared" ref="F5:F15" si="1">G5+H5</f>
        <v>0</v>
      </c>
      <c r="G5" s="22"/>
      <c r="H5" s="22"/>
      <c r="I5" s="22"/>
      <c r="J5" s="22">
        <v>29400</v>
      </c>
      <c r="K5" s="22"/>
      <c r="L5" s="22"/>
      <c r="M5" s="22"/>
      <c r="N5" s="22"/>
      <c r="O5" s="22"/>
      <c r="P5" s="22"/>
      <c r="Q5" s="22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29400</v>
      </c>
      <c r="K6" s="22"/>
      <c r="L6" s="22"/>
      <c r="M6" s="22"/>
      <c r="N6" s="22"/>
      <c r="O6" s="22"/>
      <c r="P6" s="22"/>
      <c r="Q6" s="22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32360</v>
      </c>
      <c r="K7" s="22"/>
      <c r="L7" s="22"/>
      <c r="M7" s="22"/>
      <c r="N7" s="22"/>
      <c r="O7" s="22"/>
      <c r="P7" s="22"/>
      <c r="Q7" s="22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v>26440</v>
      </c>
      <c r="K8" s="22"/>
      <c r="L8" s="22"/>
      <c r="M8" s="22"/>
      <c r="N8" s="22"/>
      <c r="O8" s="22"/>
      <c r="P8" s="22"/>
      <c r="Q8" s="22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27920</v>
      </c>
      <c r="K9" s="22"/>
      <c r="L9" s="22"/>
      <c r="M9" s="22"/>
      <c r="N9" s="22"/>
      <c r="O9" s="22"/>
      <c r="P9" s="22"/>
      <c r="Q9" s="22"/>
    </row>
    <row r="10" spans="1:27" x14ac:dyDescent="0.2">
      <c r="A10" s="82" t="s">
        <v>19</v>
      </c>
      <c r="B10" s="104">
        <f t="shared" si="0"/>
        <v>0</v>
      </c>
      <c r="C10" s="84"/>
      <c r="D10" s="84"/>
      <c r="E10" s="84"/>
      <c r="F10" s="104">
        <f t="shared" si="1"/>
        <v>0</v>
      </c>
      <c r="G10" s="84"/>
      <c r="H10" s="84"/>
      <c r="I10" s="84"/>
      <c r="J10" s="22">
        <v>5400</v>
      </c>
      <c r="K10" s="22"/>
      <c r="L10" s="104"/>
      <c r="M10" s="22"/>
      <c r="N10" s="22">
        <v>5600</v>
      </c>
      <c r="O10" s="83"/>
      <c r="P10" s="83"/>
      <c r="Q10" s="83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5400</v>
      </c>
      <c r="K11" s="22"/>
      <c r="L11" s="22"/>
      <c r="M11" s="22"/>
      <c r="N11" s="22">
        <v>11030</v>
      </c>
      <c r="O11" s="22"/>
      <c r="P11" s="22"/>
      <c r="Q11" s="22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5400</v>
      </c>
      <c r="K12" s="22"/>
      <c r="L12" s="22"/>
      <c r="M12" s="22"/>
      <c r="N12" s="22">
        <v>11030</v>
      </c>
      <c r="O12" s="22"/>
      <c r="P12" s="22"/>
      <c r="Q12" s="22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5400</v>
      </c>
      <c r="K13" s="22"/>
      <c r="L13" s="22"/>
      <c r="M13" s="22"/>
      <c r="N13" s="22">
        <v>11030</v>
      </c>
      <c r="O13" s="22"/>
      <c r="P13" s="22"/>
      <c r="Q13" s="22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v>5400</v>
      </c>
      <c r="K14" s="22"/>
      <c r="L14" s="22"/>
      <c r="M14" s="22"/>
      <c r="N14" s="22">
        <v>11030</v>
      </c>
      <c r="O14" s="22"/>
      <c r="P14" s="22"/>
      <c r="Q14" s="22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v>5377</v>
      </c>
      <c r="K15" s="22"/>
      <c r="L15" s="22"/>
      <c r="M15" s="22"/>
      <c r="N15" s="22">
        <v>11030</v>
      </c>
      <c r="O15" s="22"/>
      <c r="P15" s="22"/>
      <c r="Q15" s="22"/>
    </row>
    <row r="16" spans="1:27" x14ac:dyDescent="0.2">
      <c r="A16" s="1" t="s">
        <v>6</v>
      </c>
      <c r="B16" s="22">
        <f>SUM(B4:B15)</f>
        <v>0</v>
      </c>
      <c r="C16" s="22">
        <f t="shared" ref="C16:Q16" si="2">SUM(C4:C15)</f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>SUM(J4:J15)</f>
        <v>203077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si="2"/>
        <v>60750</v>
      </c>
      <c r="O16" s="22">
        <f t="shared" si="2"/>
        <v>0</v>
      </c>
      <c r="P16" s="22">
        <f t="shared" si="2"/>
        <v>0</v>
      </c>
      <c r="Q16" s="22">
        <f t="shared" si="2"/>
        <v>0</v>
      </c>
    </row>
    <row r="17" spans="1:17" x14ac:dyDescent="0.2">
      <c r="A17" s="28" t="s">
        <v>28</v>
      </c>
      <c r="B17" s="30">
        <f>B4+B5</f>
        <v>0</v>
      </c>
      <c r="C17" s="30">
        <f t="shared" ref="C17:L17" si="3">C4+C5</f>
        <v>0</v>
      </c>
      <c r="D17" s="30">
        <f t="shared" si="3"/>
        <v>0</v>
      </c>
      <c r="E17" s="30"/>
      <c r="F17" s="30">
        <f t="shared" si="3"/>
        <v>0</v>
      </c>
      <c r="G17" s="30">
        <f t="shared" si="3"/>
        <v>0</v>
      </c>
      <c r="H17" s="30">
        <f t="shared" si="3"/>
        <v>0</v>
      </c>
      <c r="I17" s="30"/>
      <c r="J17" s="30">
        <f t="shared" si="3"/>
        <v>54580</v>
      </c>
      <c r="K17" s="30">
        <f t="shared" si="3"/>
        <v>0</v>
      </c>
      <c r="L17" s="30">
        <f t="shared" si="3"/>
        <v>0</v>
      </c>
      <c r="M17" s="30">
        <f>M4+M5</f>
        <v>0</v>
      </c>
      <c r="N17" s="30">
        <f>N4+N5</f>
        <v>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96</v>
      </c>
      <c r="B18" s="30">
        <f>B17+B6</f>
        <v>0</v>
      </c>
      <c r="C18" s="30">
        <f>C17+C6</f>
        <v>0</v>
      </c>
      <c r="D18" s="30">
        <f>D17+D6</f>
        <v>0</v>
      </c>
      <c r="E18" s="30"/>
      <c r="F18" s="30">
        <f>F17+F6</f>
        <v>0</v>
      </c>
      <c r="G18" s="30">
        <f>G17+G6</f>
        <v>0</v>
      </c>
      <c r="H18" s="30">
        <f>H17+H6</f>
        <v>0</v>
      </c>
      <c r="I18" s="30"/>
      <c r="J18" s="30">
        <f t="shared" ref="J18:Q18" si="4">J17+J6</f>
        <v>83980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4"/>
        <v>0</v>
      </c>
      <c r="O18" s="30">
        <f t="shared" si="4"/>
        <v>0</v>
      </c>
      <c r="P18" s="30">
        <f t="shared" si="4"/>
        <v>0</v>
      </c>
      <c r="Q18" s="30">
        <f t="shared" si="4"/>
        <v>0</v>
      </c>
    </row>
    <row r="19" spans="1:17" x14ac:dyDescent="0.2">
      <c r="A19" s="28" t="s">
        <v>29</v>
      </c>
      <c r="B19" s="30">
        <f t="shared" ref="B19:B27" si="5">B18+B7</f>
        <v>0</v>
      </c>
      <c r="C19" s="30">
        <f t="shared" ref="C19:C27" si="6">C18+C7</f>
        <v>0</v>
      </c>
      <c r="D19" s="30">
        <f t="shared" ref="D19:D27" si="7">D18+D7</f>
        <v>0</v>
      </c>
      <c r="E19" s="30"/>
      <c r="F19" s="30">
        <f t="shared" ref="F19:F27" si="8">F18+F7</f>
        <v>0</v>
      </c>
      <c r="G19" s="30">
        <f t="shared" ref="G19:G27" si="9">G18+G7</f>
        <v>0</v>
      </c>
      <c r="H19" s="30">
        <f t="shared" ref="H19:H27" si="10">H18+H7</f>
        <v>0</v>
      </c>
      <c r="I19" s="30"/>
      <c r="J19" s="30">
        <f t="shared" ref="J19:J27" si="11">J18+J7</f>
        <v>116340</v>
      </c>
      <c r="K19" s="30">
        <f t="shared" ref="K19:K27" si="12">K18+K7</f>
        <v>0</v>
      </c>
      <c r="L19" s="30">
        <f t="shared" ref="L19:M27" si="13">L18+L7</f>
        <v>0</v>
      </c>
      <c r="M19" s="30">
        <f t="shared" si="13"/>
        <v>0</v>
      </c>
      <c r="N19" s="30">
        <f t="shared" ref="N19:N27" si="14">N18+N7</f>
        <v>0</v>
      </c>
      <c r="O19" s="30">
        <f t="shared" ref="O19:O27" si="15">O18+O7</f>
        <v>0</v>
      </c>
      <c r="P19" s="30">
        <f t="shared" ref="P19:P27" si="16">P18+P7</f>
        <v>0</v>
      </c>
      <c r="Q19" s="30">
        <f t="shared" ref="Q19:Q27" si="17">Q18+Q7</f>
        <v>0</v>
      </c>
    </row>
    <row r="20" spans="1:17" x14ac:dyDescent="0.2">
      <c r="A20" s="28" t="s">
        <v>30</v>
      </c>
      <c r="B20" s="30">
        <f t="shared" si="5"/>
        <v>0</v>
      </c>
      <c r="C20" s="30">
        <f t="shared" si="6"/>
        <v>0</v>
      </c>
      <c r="D20" s="30">
        <f t="shared" si="7"/>
        <v>0</v>
      </c>
      <c r="E20" s="30"/>
      <c r="F20" s="30">
        <f t="shared" si="8"/>
        <v>0</v>
      </c>
      <c r="G20" s="30">
        <f t="shared" si="9"/>
        <v>0</v>
      </c>
      <c r="H20" s="30">
        <f t="shared" si="10"/>
        <v>0</v>
      </c>
      <c r="I20" s="30"/>
      <c r="J20" s="30">
        <f t="shared" si="11"/>
        <v>142780</v>
      </c>
      <c r="K20" s="30">
        <f t="shared" si="12"/>
        <v>0</v>
      </c>
      <c r="L20" s="30">
        <f t="shared" si="13"/>
        <v>0</v>
      </c>
      <c r="M20" s="30">
        <f t="shared" si="13"/>
        <v>0</v>
      </c>
      <c r="N20" s="30">
        <f t="shared" si="14"/>
        <v>0</v>
      </c>
      <c r="O20" s="30">
        <f t="shared" si="15"/>
        <v>0</v>
      </c>
      <c r="P20" s="30">
        <f t="shared" si="16"/>
        <v>0</v>
      </c>
      <c r="Q20" s="30">
        <f t="shared" si="17"/>
        <v>0</v>
      </c>
    </row>
    <row r="21" spans="1:17" x14ac:dyDescent="0.2">
      <c r="A21" s="28" t="s">
        <v>31</v>
      </c>
      <c r="B21" s="30">
        <f t="shared" si="5"/>
        <v>0</v>
      </c>
      <c r="C21" s="30">
        <f t="shared" si="6"/>
        <v>0</v>
      </c>
      <c r="D21" s="30">
        <f t="shared" si="7"/>
        <v>0</v>
      </c>
      <c r="E21" s="30"/>
      <c r="F21" s="30">
        <f t="shared" si="8"/>
        <v>0</v>
      </c>
      <c r="G21" s="30">
        <f t="shared" si="9"/>
        <v>0</v>
      </c>
      <c r="H21" s="30">
        <f t="shared" si="10"/>
        <v>0</v>
      </c>
      <c r="I21" s="30"/>
      <c r="J21" s="30">
        <f t="shared" si="11"/>
        <v>170700</v>
      </c>
      <c r="K21" s="30">
        <f t="shared" si="12"/>
        <v>0</v>
      </c>
      <c r="L21" s="30">
        <f t="shared" si="13"/>
        <v>0</v>
      </c>
      <c r="M21" s="30">
        <f t="shared" si="13"/>
        <v>0</v>
      </c>
      <c r="N21" s="30">
        <f t="shared" si="14"/>
        <v>0</v>
      </c>
      <c r="O21" s="30">
        <f t="shared" si="15"/>
        <v>0</v>
      </c>
      <c r="P21" s="30">
        <f t="shared" si="16"/>
        <v>0</v>
      </c>
      <c r="Q21" s="30">
        <f t="shared" si="17"/>
        <v>0</v>
      </c>
    </row>
    <row r="22" spans="1:17" x14ac:dyDescent="0.2">
      <c r="A22" s="28" t="s">
        <v>32</v>
      </c>
      <c r="B22" s="30">
        <f t="shared" si="5"/>
        <v>0</v>
      </c>
      <c r="C22" s="30">
        <f t="shared" si="6"/>
        <v>0</v>
      </c>
      <c r="D22" s="30">
        <f t="shared" si="7"/>
        <v>0</v>
      </c>
      <c r="E22" s="30"/>
      <c r="F22" s="30">
        <f t="shared" si="8"/>
        <v>0</v>
      </c>
      <c r="G22" s="30">
        <f t="shared" si="9"/>
        <v>0</v>
      </c>
      <c r="H22" s="30">
        <f t="shared" si="10"/>
        <v>0</v>
      </c>
      <c r="I22" s="30"/>
      <c r="J22" s="30">
        <f t="shared" si="11"/>
        <v>176100</v>
      </c>
      <c r="K22" s="30">
        <f t="shared" si="12"/>
        <v>0</v>
      </c>
      <c r="L22" s="30">
        <f t="shared" si="13"/>
        <v>0</v>
      </c>
      <c r="M22" s="30">
        <f t="shared" si="13"/>
        <v>0</v>
      </c>
      <c r="N22" s="30">
        <f t="shared" si="14"/>
        <v>5600</v>
      </c>
      <c r="O22" s="30">
        <f t="shared" si="15"/>
        <v>0</v>
      </c>
      <c r="P22" s="30">
        <f t="shared" si="16"/>
        <v>0</v>
      </c>
      <c r="Q22" s="30">
        <f t="shared" si="17"/>
        <v>0</v>
      </c>
    </row>
    <row r="23" spans="1:17" x14ac:dyDescent="0.2">
      <c r="A23" s="28" t="s">
        <v>33</v>
      </c>
      <c r="B23" s="30">
        <f t="shared" si="5"/>
        <v>0</v>
      </c>
      <c r="C23" s="30">
        <f t="shared" si="6"/>
        <v>0</v>
      </c>
      <c r="D23" s="30">
        <f t="shared" si="7"/>
        <v>0</v>
      </c>
      <c r="E23" s="30"/>
      <c r="F23" s="30">
        <f t="shared" si="8"/>
        <v>0</v>
      </c>
      <c r="G23" s="30">
        <f t="shared" si="9"/>
        <v>0</v>
      </c>
      <c r="H23" s="30">
        <f t="shared" si="10"/>
        <v>0</v>
      </c>
      <c r="I23" s="30"/>
      <c r="J23" s="30">
        <f t="shared" si="11"/>
        <v>181500</v>
      </c>
      <c r="K23" s="30">
        <f t="shared" si="12"/>
        <v>0</v>
      </c>
      <c r="L23" s="30">
        <f t="shared" si="13"/>
        <v>0</v>
      </c>
      <c r="M23" s="30">
        <f t="shared" si="13"/>
        <v>0</v>
      </c>
      <c r="N23" s="30">
        <f t="shared" si="14"/>
        <v>16630</v>
      </c>
      <c r="O23" s="30">
        <f t="shared" si="15"/>
        <v>0</v>
      </c>
      <c r="P23" s="30">
        <f t="shared" si="16"/>
        <v>0</v>
      </c>
      <c r="Q23" s="30">
        <f t="shared" si="17"/>
        <v>0</v>
      </c>
    </row>
    <row r="24" spans="1:17" x14ac:dyDescent="0.2">
      <c r="A24" s="28" t="s">
        <v>34</v>
      </c>
      <c r="B24" s="30">
        <f t="shared" si="5"/>
        <v>0</v>
      </c>
      <c r="C24" s="30">
        <f t="shared" si="6"/>
        <v>0</v>
      </c>
      <c r="D24" s="30">
        <f t="shared" si="7"/>
        <v>0</v>
      </c>
      <c r="E24" s="30"/>
      <c r="F24" s="30">
        <f t="shared" si="8"/>
        <v>0</v>
      </c>
      <c r="G24" s="30">
        <f t="shared" si="9"/>
        <v>0</v>
      </c>
      <c r="H24" s="30">
        <f t="shared" si="10"/>
        <v>0</v>
      </c>
      <c r="I24" s="30"/>
      <c r="J24" s="30">
        <f t="shared" si="11"/>
        <v>186900</v>
      </c>
      <c r="K24" s="30">
        <f t="shared" si="12"/>
        <v>0</v>
      </c>
      <c r="L24" s="30">
        <f t="shared" si="13"/>
        <v>0</v>
      </c>
      <c r="M24" s="30">
        <f t="shared" si="13"/>
        <v>0</v>
      </c>
      <c r="N24" s="30">
        <f t="shared" si="14"/>
        <v>27660</v>
      </c>
      <c r="O24" s="30">
        <f t="shared" si="15"/>
        <v>0</v>
      </c>
      <c r="P24" s="30">
        <f t="shared" si="16"/>
        <v>0</v>
      </c>
      <c r="Q24" s="30">
        <f t="shared" si="17"/>
        <v>0</v>
      </c>
    </row>
    <row r="25" spans="1:17" x14ac:dyDescent="0.2">
      <c r="A25" s="29" t="s">
        <v>35</v>
      </c>
      <c r="B25" s="31">
        <f t="shared" si="5"/>
        <v>0</v>
      </c>
      <c r="C25" s="31">
        <f t="shared" si="6"/>
        <v>0</v>
      </c>
      <c r="D25" s="31">
        <f t="shared" si="7"/>
        <v>0</v>
      </c>
      <c r="E25" s="31"/>
      <c r="F25" s="31">
        <f t="shared" si="8"/>
        <v>0</v>
      </c>
      <c r="G25" s="31">
        <f t="shared" si="9"/>
        <v>0</v>
      </c>
      <c r="H25" s="31">
        <f t="shared" si="10"/>
        <v>0</v>
      </c>
      <c r="I25" s="31"/>
      <c r="J25" s="31">
        <f t="shared" si="11"/>
        <v>192300</v>
      </c>
      <c r="K25" s="31">
        <f t="shared" si="12"/>
        <v>0</v>
      </c>
      <c r="L25" s="31">
        <f t="shared" si="13"/>
        <v>0</v>
      </c>
      <c r="M25" s="31">
        <f t="shared" si="13"/>
        <v>0</v>
      </c>
      <c r="N25" s="31">
        <f t="shared" si="14"/>
        <v>38690</v>
      </c>
      <c r="O25" s="31">
        <f t="shared" si="15"/>
        <v>0</v>
      </c>
      <c r="P25" s="31">
        <f t="shared" si="16"/>
        <v>0</v>
      </c>
      <c r="Q25" s="31">
        <f t="shared" si="17"/>
        <v>0</v>
      </c>
    </row>
    <row r="26" spans="1:17" x14ac:dyDescent="0.2">
      <c r="A26" s="29" t="s">
        <v>36</v>
      </c>
      <c r="B26" s="31">
        <f t="shared" si="5"/>
        <v>0</v>
      </c>
      <c r="C26" s="31">
        <f t="shared" si="6"/>
        <v>0</v>
      </c>
      <c r="D26" s="31">
        <f t="shared" si="7"/>
        <v>0</v>
      </c>
      <c r="E26" s="31"/>
      <c r="F26" s="31">
        <f t="shared" si="8"/>
        <v>0</v>
      </c>
      <c r="G26" s="31">
        <f t="shared" si="9"/>
        <v>0</v>
      </c>
      <c r="H26" s="31">
        <f t="shared" si="10"/>
        <v>0</v>
      </c>
      <c r="I26" s="31"/>
      <c r="J26" s="31">
        <f t="shared" si="11"/>
        <v>197700</v>
      </c>
      <c r="K26" s="31">
        <f t="shared" si="12"/>
        <v>0</v>
      </c>
      <c r="L26" s="31">
        <f t="shared" si="13"/>
        <v>0</v>
      </c>
      <c r="M26" s="31">
        <f t="shared" si="13"/>
        <v>0</v>
      </c>
      <c r="N26" s="31">
        <f t="shared" si="14"/>
        <v>49720</v>
      </c>
      <c r="O26" s="31">
        <f t="shared" si="15"/>
        <v>0</v>
      </c>
      <c r="P26" s="31">
        <f t="shared" si="16"/>
        <v>0</v>
      </c>
      <c r="Q26" s="31">
        <f t="shared" si="17"/>
        <v>0</v>
      </c>
    </row>
    <row r="27" spans="1:17" x14ac:dyDescent="0.2">
      <c r="A27" s="12" t="s">
        <v>15</v>
      </c>
      <c r="B27" s="32">
        <f t="shared" si="5"/>
        <v>0</v>
      </c>
      <c r="C27" s="32">
        <f t="shared" si="6"/>
        <v>0</v>
      </c>
      <c r="D27" s="32">
        <f t="shared" si="7"/>
        <v>0</v>
      </c>
      <c r="E27" s="32"/>
      <c r="F27" s="32">
        <f t="shared" si="8"/>
        <v>0</v>
      </c>
      <c r="G27" s="32">
        <f t="shared" si="9"/>
        <v>0</v>
      </c>
      <c r="H27" s="32">
        <f t="shared" si="10"/>
        <v>0</v>
      </c>
      <c r="I27" s="32"/>
      <c r="J27" s="32">
        <f t="shared" si="11"/>
        <v>203077</v>
      </c>
      <c r="K27" s="32">
        <f t="shared" si="12"/>
        <v>0</v>
      </c>
      <c r="L27" s="32">
        <f t="shared" si="13"/>
        <v>0</v>
      </c>
      <c r="M27" s="32">
        <f t="shared" si="13"/>
        <v>0</v>
      </c>
      <c r="N27" s="32">
        <f t="shared" si="14"/>
        <v>60750</v>
      </c>
      <c r="O27" s="32">
        <f t="shared" si="15"/>
        <v>0</v>
      </c>
      <c r="P27" s="32">
        <f t="shared" si="16"/>
        <v>0</v>
      </c>
      <c r="Q27" s="32">
        <f t="shared" si="17"/>
        <v>0</v>
      </c>
    </row>
  </sheetData>
  <mergeCells count="7">
    <mergeCell ref="O2:Q2"/>
    <mergeCell ref="K2:M2"/>
    <mergeCell ref="J1:M1"/>
    <mergeCell ref="C2:D2"/>
    <mergeCell ref="G2:H2"/>
    <mergeCell ref="B1:D1"/>
    <mergeCell ref="F1:H1"/>
  </mergeCells>
  <phoneticPr fontId="0" type="noConversion"/>
  <pageMargins left="0.78740157480314965" right="0.78740157480314965" top="0" bottom="0" header="0.51181102362204722" footer="0.51181102362204722"/>
  <pageSetup paperSize="9" scale="5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workbookViewId="0">
      <pane xSplit="1" ySplit="3" topLeftCell="F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9.5703125" hidden="1" customWidth="1"/>
    <col min="7" max="7" width="11" bestFit="1" customWidth="1"/>
    <col min="8" max="8" width="9.5703125" bestFit="1" customWidth="1"/>
    <col min="9" max="9" width="9.5703125" customWidth="1"/>
    <col min="10" max="10" width="7.140625" bestFit="1" customWidth="1"/>
    <col min="11" max="11" width="11.7109375" bestFit="1" customWidth="1"/>
    <col min="12" max="12" width="7.5703125" customWidth="1"/>
    <col min="13" max="13" width="8.285156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24" t="s">
        <v>22</v>
      </c>
      <c r="L1" s="25"/>
      <c r="M1" s="116"/>
      <c r="N1" s="19"/>
      <c r="O1" s="24" t="s">
        <v>185</v>
      </c>
      <c r="P1" s="25"/>
      <c r="Q1" s="116"/>
      <c r="R1" s="19"/>
      <c r="S1" s="24" t="s">
        <v>193</v>
      </c>
      <c r="T1" s="25"/>
      <c r="U1" s="116"/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58"/>
      <c r="J2" s="5" t="s">
        <v>6</v>
      </c>
      <c r="K2" s="366" t="s">
        <v>25</v>
      </c>
      <c r="L2" s="365"/>
      <c r="M2" s="365"/>
      <c r="N2" s="5" t="s">
        <v>6</v>
      </c>
      <c r="O2" s="366" t="s">
        <v>25</v>
      </c>
      <c r="P2" s="365"/>
      <c r="Q2" s="365"/>
      <c r="R2" s="5" t="s">
        <v>6</v>
      </c>
      <c r="S2" s="366" t="s">
        <v>25</v>
      </c>
      <c r="T2" s="365"/>
      <c r="U2" s="365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9" t="s">
        <v>27</v>
      </c>
      <c r="L3" s="21" t="s">
        <v>26</v>
      </c>
      <c r="M3" s="115" t="s">
        <v>105</v>
      </c>
      <c r="N3" s="7"/>
      <c r="O3" s="19" t="s">
        <v>27</v>
      </c>
      <c r="P3" s="21" t="s">
        <v>26</v>
      </c>
      <c r="Q3" s="115" t="s">
        <v>105</v>
      </c>
      <c r="R3" s="7"/>
      <c r="S3" s="19" t="s">
        <v>27</v>
      </c>
      <c r="T3" s="21" t="s">
        <v>26</v>
      </c>
      <c r="U3" s="115" t="s">
        <v>105</v>
      </c>
    </row>
    <row r="4" spans="1:27" x14ac:dyDescent="0.2">
      <c r="A4" s="1" t="s">
        <v>4</v>
      </c>
      <c r="B4" s="22"/>
      <c r="C4" s="22"/>
      <c r="D4" s="22"/>
      <c r="E4" s="22"/>
      <c r="F4" s="22">
        <v>726</v>
      </c>
      <c r="G4" s="22"/>
      <c r="H4" s="22"/>
      <c r="I4" s="22"/>
      <c r="J4" s="22">
        <v>520</v>
      </c>
      <c r="K4" s="27"/>
      <c r="L4" s="27"/>
      <c r="M4" s="22"/>
      <c r="N4" s="22">
        <v>765</v>
      </c>
      <c r="O4" s="27"/>
      <c r="P4" s="27"/>
      <c r="Q4" s="22"/>
      <c r="R4" s="22"/>
      <c r="S4" s="27"/>
      <c r="T4" s="27"/>
      <c r="U4" s="22"/>
    </row>
    <row r="5" spans="1:27" x14ac:dyDescent="0.2">
      <c r="A5" s="1" t="s">
        <v>7</v>
      </c>
      <c r="B5" s="22"/>
      <c r="C5" s="22"/>
      <c r="D5" s="22"/>
      <c r="E5" s="22"/>
      <c r="F5" s="22">
        <v>726</v>
      </c>
      <c r="G5" s="22"/>
      <c r="H5" s="22"/>
      <c r="I5" s="22"/>
      <c r="J5" s="22">
        <v>1145</v>
      </c>
      <c r="K5" s="22"/>
      <c r="L5" s="22"/>
      <c r="M5" s="22"/>
      <c r="N5" s="22">
        <v>1370</v>
      </c>
      <c r="O5" s="22"/>
      <c r="P5" s="22"/>
      <c r="Q5" s="22"/>
      <c r="R5" s="22"/>
      <c r="S5" s="22"/>
      <c r="T5" s="22"/>
      <c r="U5" s="22"/>
    </row>
    <row r="6" spans="1:27" x14ac:dyDescent="0.2">
      <c r="A6" s="1" t="s">
        <v>8</v>
      </c>
      <c r="B6" s="22"/>
      <c r="C6" s="22"/>
      <c r="D6" s="22"/>
      <c r="E6" s="22"/>
      <c r="F6" s="22">
        <v>726</v>
      </c>
      <c r="G6" s="22"/>
      <c r="H6" s="22"/>
      <c r="I6" s="22"/>
      <c r="J6" s="22">
        <v>1395</v>
      </c>
      <c r="K6" s="22"/>
      <c r="L6" s="22"/>
      <c r="M6" s="22"/>
      <c r="N6" s="22">
        <v>1445</v>
      </c>
      <c r="O6" s="22"/>
      <c r="P6" s="22"/>
      <c r="Q6" s="22"/>
      <c r="R6" s="22"/>
      <c r="S6" s="22"/>
      <c r="T6" s="22"/>
      <c r="U6" s="22"/>
    </row>
    <row r="7" spans="1:27" x14ac:dyDescent="0.2">
      <c r="A7" s="1" t="s">
        <v>16</v>
      </c>
      <c r="B7" s="22"/>
      <c r="C7" s="22"/>
      <c r="D7" s="22"/>
      <c r="E7" s="22"/>
      <c r="F7" s="22">
        <v>726</v>
      </c>
      <c r="G7" s="22"/>
      <c r="H7" s="22"/>
      <c r="I7" s="22"/>
      <c r="J7" s="22">
        <v>1268</v>
      </c>
      <c r="K7" s="22"/>
      <c r="L7" s="22"/>
      <c r="M7" s="22"/>
      <c r="N7" s="22">
        <v>1565</v>
      </c>
      <c r="O7" s="22"/>
      <c r="P7" s="22"/>
      <c r="Q7" s="22"/>
      <c r="R7" s="22"/>
      <c r="S7" s="22"/>
      <c r="T7" s="22"/>
      <c r="U7" s="22"/>
    </row>
    <row r="8" spans="1:27" x14ac:dyDescent="0.2">
      <c r="A8" s="1" t="s">
        <v>17</v>
      </c>
      <c r="B8" s="22"/>
      <c r="C8" s="22"/>
      <c r="D8" s="22"/>
      <c r="E8" s="22"/>
      <c r="F8" s="22">
        <v>726</v>
      </c>
      <c r="G8" s="22"/>
      <c r="H8" s="22"/>
      <c r="I8" s="22"/>
      <c r="J8" s="22">
        <v>1275</v>
      </c>
      <c r="K8" s="22"/>
      <c r="L8" s="22"/>
      <c r="M8" s="22"/>
      <c r="N8" s="22">
        <v>1440</v>
      </c>
      <c r="O8" s="22"/>
      <c r="P8" s="22"/>
      <c r="Q8" s="22"/>
      <c r="R8" s="22"/>
      <c r="S8" s="22"/>
      <c r="T8" s="22"/>
      <c r="U8" s="22"/>
    </row>
    <row r="9" spans="1:27" x14ac:dyDescent="0.2">
      <c r="A9" s="1" t="s">
        <v>18</v>
      </c>
      <c r="B9" s="22"/>
      <c r="C9" s="22"/>
      <c r="D9" s="22"/>
      <c r="E9" s="22"/>
      <c r="F9" s="22">
        <v>730</v>
      </c>
      <c r="G9" s="22"/>
      <c r="H9" s="22"/>
      <c r="I9" s="22"/>
      <c r="J9" s="22">
        <v>1150</v>
      </c>
      <c r="K9" s="22"/>
      <c r="L9" s="22"/>
      <c r="M9" s="22"/>
      <c r="N9" s="22">
        <v>1200</v>
      </c>
      <c r="O9" s="22"/>
      <c r="P9" s="22"/>
      <c r="Q9" s="22"/>
      <c r="R9" s="22"/>
      <c r="S9" s="22"/>
      <c r="T9" s="22"/>
      <c r="U9" s="22"/>
    </row>
    <row r="10" spans="1:27" x14ac:dyDescent="0.2">
      <c r="A10" s="82" t="s">
        <v>19</v>
      </c>
      <c r="B10" s="86"/>
      <c r="C10" s="22"/>
      <c r="D10" s="83"/>
      <c r="E10" s="83"/>
      <c r="F10" s="86">
        <v>556</v>
      </c>
      <c r="G10" s="22"/>
      <c r="H10" s="83"/>
      <c r="I10" s="83"/>
      <c r="J10" s="22">
        <v>2706</v>
      </c>
      <c r="K10" s="83"/>
      <c r="L10" s="83"/>
      <c r="M10" s="83"/>
      <c r="N10" s="22">
        <v>707</v>
      </c>
      <c r="O10" s="83"/>
      <c r="P10" s="83"/>
      <c r="Q10" s="83"/>
      <c r="R10" s="22">
        <v>49</v>
      </c>
      <c r="S10" s="83"/>
      <c r="T10" s="83"/>
      <c r="U10" s="83"/>
    </row>
    <row r="11" spans="1:27" x14ac:dyDescent="0.2">
      <c r="A11" s="1" t="s">
        <v>10</v>
      </c>
      <c r="B11" s="22"/>
      <c r="C11" s="22"/>
      <c r="D11" s="22"/>
      <c r="E11" s="22"/>
      <c r="F11" s="22">
        <v>490</v>
      </c>
      <c r="G11" s="22"/>
      <c r="H11" s="22"/>
      <c r="I11" s="22"/>
      <c r="J11" s="22">
        <v>3599</v>
      </c>
      <c r="K11" s="22"/>
      <c r="L11" s="22"/>
      <c r="M11" s="22"/>
      <c r="N11" s="22">
        <v>830</v>
      </c>
      <c r="O11" s="22"/>
      <c r="P11" s="22"/>
      <c r="Q11" s="22"/>
      <c r="R11" s="22">
        <v>56</v>
      </c>
      <c r="S11" s="22"/>
      <c r="T11" s="22"/>
      <c r="U11" s="22"/>
    </row>
    <row r="12" spans="1:27" x14ac:dyDescent="0.2">
      <c r="A12" s="1" t="s">
        <v>11</v>
      </c>
      <c r="B12" s="22"/>
      <c r="C12" s="22"/>
      <c r="D12" s="22"/>
      <c r="E12" s="22"/>
      <c r="F12" s="22">
        <v>610</v>
      </c>
      <c r="G12" s="22"/>
      <c r="H12" s="22"/>
      <c r="I12" s="22"/>
      <c r="J12" s="22">
        <v>4069</v>
      </c>
      <c r="K12" s="22"/>
      <c r="L12" s="22"/>
      <c r="M12" s="22"/>
      <c r="N12" s="22">
        <v>918</v>
      </c>
      <c r="O12" s="22"/>
      <c r="P12" s="22"/>
      <c r="Q12" s="22"/>
      <c r="R12" s="22">
        <v>82</v>
      </c>
      <c r="S12" s="22"/>
      <c r="T12" s="22"/>
      <c r="U12" s="22"/>
    </row>
    <row r="13" spans="1:27" x14ac:dyDescent="0.2">
      <c r="A13" s="1" t="s">
        <v>12</v>
      </c>
      <c r="B13" s="22"/>
      <c r="C13" s="22"/>
      <c r="D13" s="22"/>
      <c r="E13" s="22"/>
      <c r="F13" s="22">
        <v>750</v>
      </c>
      <c r="G13" s="22"/>
      <c r="H13" s="22"/>
      <c r="I13" s="22"/>
      <c r="J13" s="22">
        <v>4299</v>
      </c>
      <c r="K13" s="22"/>
      <c r="L13" s="22"/>
      <c r="M13" s="22"/>
      <c r="N13" s="22">
        <v>953</v>
      </c>
      <c r="O13" s="22"/>
      <c r="P13" s="22"/>
      <c r="Q13" s="22"/>
      <c r="R13" s="22">
        <v>91</v>
      </c>
      <c r="S13" s="22"/>
      <c r="T13" s="22"/>
      <c r="U13" s="22"/>
    </row>
    <row r="14" spans="1:27" x14ac:dyDescent="0.2">
      <c r="A14" s="1" t="s">
        <v>13</v>
      </c>
      <c r="B14" s="22"/>
      <c r="C14" s="22"/>
      <c r="D14" s="22"/>
      <c r="E14" s="22"/>
      <c r="F14" s="22">
        <v>850</v>
      </c>
      <c r="G14" s="22"/>
      <c r="H14" s="22"/>
      <c r="I14" s="22"/>
      <c r="J14" s="22">
        <v>4559</v>
      </c>
      <c r="K14" s="22"/>
      <c r="L14" s="22"/>
      <c r="M14" s="22"/>
      <c r="N14" s="22">
        <v>959</v>
      </c>
      <c r="O14" s="22"/>
      <c r="P14" s="22"/>
      <c r="Q14" s="22"/>
      <c r="R14" s="22">
        <v>108</v>
      </c>
      <c r="S14" s="22"/>
      <c r="T14" s="22"/>
      <c r="U14" s="22"/>
    </row>
    <row r="15" spans="1:27" x14ac:dyDescent="0.2">
      <c r="A15" s="1" t="s">
        <v>14</v>
      </c>
      <c r="B15" s="22"/>
      <c r="C15" s="22"/>
      <c r="D15" s="22"/>
      <c r="E15" s="22"/>
      <c r="F15" s="22">
        <v>884</v>
      </c>
      <c r="G15" s="22"/>
      <c r="H15" s="22"/>
      <c r="I15" s="22"/>
      <c r="J15" s="22">
        <v>4521</v>
      </c>
      <c r="K15" s="22"/>
      <c r="L15" s="22"/>
      <c r="M15" s="22"/>
      <c r="N15" s="22">
        <v>956</v>
      </c>
      <c r="O15" s="22"/>
      <c r="P15" s="22"/>
      <c r="Q15" s="22"/>
      <c r="R15" s="22">
        <v>114</v>
      </c>
      <c r="S15" s="22"/>
      <c r="T15" s="22"/>
      <c r="U15" s="22"/>
    </row>
    <row r="16" spans="1:27" x14ac:dyDescent="0.2">
      <c r="A16" s="1" t="s">
        <v>6</v>
      </c>
      <c r="B16" s="22">
        <f>SUM(B4:B15)</f>
        <v>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8500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30506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U16" si="1">SUM(N4:N15)</f>
        <v>13108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500</v>
      </c>
      <c r="S16" s="22">
        <f t="shared" si="1"/>
        <v>0</v>
      </c>
      <c r="T16" s="22">
        <f t="shared" si="1"/>
        <v>0</v>
      </c>
      <c r="U16" s="22">
        <f t="shared" si="1"/>
        <v>0</v>
      </c>
    </row>
    <row r="17" spans="1:21" x14ac:dyDescent="0.2">
      <c r="A17" s="28" t="s">
        <v>28</v>
      </c>
      <c r="B17" s="30">
        <f>B4+B5</f>
        <v>0</v>
      </c>
      <c r="C17" s="30">
        <f t="shared" ref="C17:L17" si="2">C4+C5</f>
        <v>0</v>
      </c>
      <c r="D17" s="30">
        <f t="shared" si="2"/>
        <v>0</v>
      </c>
      <c r="E17" s="30">
        <f>E4+E5</f>
        <v>0</v>
      </c>
      <c r="F17" s="30">
        <f t="shared" si="2"/>
        <v>1452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1665</v>
      </c>
      <c r="K17" s="30">
        <f t="shared" si="2"/>
        <v>0</v>
      </c>
      <c r="L17" s="30">
        <f t="shared" si="2"/>
        <v>0</v>
      </c>
      <c r="M17" s="30">
        <f t="shared" ref="M17:U17" si="3">M4+M5</f>
        <v>0</v>
      </c>
      <c r="N17" s="30">
        <f t="shared" si="3"/>
        <v>2135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30">
        <f t="shared" si="3"/>
        <v>0</v>
      </c>
    </row>
    <row r="18" spans="1:21" x14ac:dyDescent="0.2">
      <c r="A18" s="28" t="s">
        <v>96</v>
      </c>
      <c r="B18" s="30">
        <f t="shared" ref="B18:B27" si="4">B17+B6</f>
        <v>0</v>
      </c>
      <c r="C18" s="30">
        <f t="shared" ref="C18:M18" si="5">C17+C6</f>
        <v>0</v>
      </c>
      <c r="D18" s="30">
        <f t="shared" si="5"/>
        <v>0</v>
      </c>
      <c r="E18" s="30">
        <f t="shared" si="5"/>
        <v>0</v>
      </c>
      <c r="F18" s="30">
        <f t="shared" si="5"/>
        <v>2178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3060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ref="N18:N27" si="6">N17+N6</f>
        <v>3580</v>
      </c>
      <c r="O18" s="30">
        <f t="shared" ref="O18:O27" si="7">O17+O6</f>
        <v>0</v>
      </c>
      <c r="P18" s="30">
        <f t="shared" ref="P18:P27" si="8">P17+P6</f>
        <v>0</v>
      </c>
      <c r="Q18" s="30">
        <f t="shared" ref="Q18:Q27" si="9">Q17+Q6</f>
        <v>0</v>
      </c>
      <c r="R18" s="30">
        <f t="shared" ref="R18:R27" si="10">R17+R6</f>
        <v>0</v>
      </c>
      <c r="S18" s="30">
        <f t="shared" ref="S18:S27" si="11">S17+S6</f>
        <v>0</v>
      </c>
      <c r="T18" s="30">
        <f t="shared" ref="T18:T27" si="12">T17+T6</f>
        <v>0</v>
      </c>
      <c r="U18" s="30">
        <f t="shared" ref="U18:U27" si="13">U17+U6</f>
        <v>0</v>
      </c>
    </row>
    <row r="19" spans="1:21" x14ac:dyDescent="0.2">
      <c r="A19" s="28" t="s">
        <v>29</v>
      </c>
      <c r="B19" s="30">
        <f t="shared" si="4"/>
        <v>0</v>
      </c>
      <c r="C19" s="30">
        <f t="shared" ref="C19:M19" si="14">C18+C7</f>
        <v>0</v>
      </c>
      <c r="D19" s="30">
        <f t="shared" si="14"/>
        <v>0</v>
      </c>
      <c r="E19" s="30">
        <f t="shared" si="14"/>
        <v>0</v>
      </c>
      <c r="F19" s="30">
        <f t="shared" si="14"/>
        <v>2904</v>
      </c>
      <c r="G19" s="30">
        <f t="shared" si="14"/>
        <v>0</v>
      </c>
      <c r="H19" s="30">
        <f t="shared" si="14"/>
        <v>0</v>
      </c>
      <c r="I19" s="30">
        <f t="shared" si="14"/>
        <v>0</v>
      </c>
      <c r="J19" s="30">
        <f t="shared" si="14"/>
        <v>4328</v>
      </c>
      <c r="K19" s="30">
        <f t="shared" si="14"/>
        <v>0</v>
      </c>
      <c r="L19" s="30">
        <f t="shared" si="14"/>
        <v>0</v>
      </c>
      <c r="M19" s="30">
        <f t="shared" si="14"/>
        <v>0</v>
      </c>
      <c r="N19" s="30">
        <f t="shared" si="6"/>
        <v>5145</v>
      </c>
      <c r="O19" s="30">
        <f t="shared" si="7"/>
        <v>0</v>
      </c>
      <c r="P19" s="30">
        <f t="shared" si="8"/>
        <v>0</v>
      </c>
      <c r="Q19" s="30">
        <f t="shared" si="9"/>
        <v>0</v>
      </c>
      <c r="R19" s="30">
        <f t="shared" si="10"/>
        <v>0</v>
      </c>
      <c r="S19" s="30">
        <f t="shared" si="11"/>
        <v>0</v>
      </c>
      <c r="T19" s="30">
        <f t="shared" si="12"/>
        <v>0</v>
      </c>
      <c r="U19" s="30">
        <f t="shared" si="13"/>
        <v>0</v>
      </c>
    </row>
    <row r="20" spans="1:21" x14ac:dyDescent="0.2">
      <c r="A20" s="28" t="s">
        <v>30</v>
      </c>
      <c r="B20" s="30">
        <f t="shared" si="4"/>
        <v>0</v>
      </c>
      <c r="C20" s="30">
        <f t="shared" ref="C20:M20" si="15">C19+C8</f>
        <v>0</v>
      </c>
      <c r="D20" s="30">
        <f t="shared" si="15"/>
        <v>0</v>
      </c>
      <c r="E20" s="30">
        <f t="shared" si="15"/>
        <v>0</v>
      </c>
      <c r="F20" s="30">
        <f t="shared" si="15"/>
        <v>3630</v>
      </c>
      <c r="G20" s="30">
        <f t="shared" si="15"/>
        <v>0</v>
      </c>
      <c r="H20" s="30">
        <f t="shared" si="15"/>
        <v>0</v>
      </c>
      <c r="I20" s="30">
        <f t="shared" si="15"/>
        <v>0</v>
      </c>
      <c r="J20" s="30">
        <f t="shared" si="15"/>
        <v>5603</v>
      </c>
      <c r="K20" s="30">
        <f t="shared" si="15"/>
        <v>0</v>
      </c>
      <c r="L20" s="30">
        <f t="shared" si="15"/>
        <v>0</v>
      </c>
      <c r="M20" s="30">
        <f t="shared" si="15"/>
        <v>0</v>
      </c>
      <c r="N20" s="30">
        <f t="shared" si="6"/>
        <v>6585</v>
      </c>
      <c r="O20" s="30">
        <f t="shared" si="7"/>
        <v>0</v>
      </c>
      <c r="P20" s="30">
        <f t="shared" si="8"/>
        <v>0</v>
      </c>
      <c r="Q20" s="30">
        <f t="shared" si="9"/>
        <v>0</v>
      </c>
      <c r="R20" s="30">
        <f t="shared" si="10"/>
        <v>0</v>
      </c>
      <c r="S20" s="30">
        <f t="shared" si="11"/>
        <v>0</v>
      </c>
      <c r="T20" s="30">
        <f t="shared" si="12"/>
        <v>0</v>
      </c>
      <c r="U20" s="30">
        <f t="shared" si="13"/>
        <v>0</v>
      </c>
    </row>
    <row r="21" spans="1:21" x14ac:dyDescent="0.2">
      <c r="A21" s="28" t="s">
        <v>31</v>
      </c>
      <c r="B21" s="30">
        <f t="shared" si="4"/>
        <v>0</v>
      </c>
      <c r="C21" s="30">
        <f t="shared" ref="C21:M21" si="16">C20+C9</f>
        <v>0</v>
      </c>
      <c r="D21" s="30">
        <f t="shared" si="16"/>
        <v>0</v>
      </c>
      <c r="E21" s="30">
        <f t="shared" si="16"/>
        <v>0</v>
      </c>
      <c r="F21" s="30">
        <f t="shared" si="16"/>
        <v>4360</v>
      </c>
      <c r="G21" s="30">
        <f t="shared" si="16"/>
        <v>0</v>
      </c>
      <c r="H21" s="30">
        <f t="shared" si="16"/>
        <v>0</v>
      </c>
      <c r="I21" s="30">
        <f t="shared" si="16"/>
        <v>0</v>
      </c>
      <c r="J21" s="30">
        <f t="shared" si="16"/>
        <v>6753</v>
      </c>
      <c r="K21" s="30">
        <f t="shared" si="16"/>
        <v>0</v>
      </c>
      <c r="L21" s="30">
        <f t="shared" si="16"/>
        <v>0</v>
      </c>
      <c r="M21" s="30">
        <f t="shared" si="16"/>
        <v>0</v>
      </c>
      <c r="N21" s="30">
        <f t="shared" si="6"/>
        <v>7785</v>
      </c>
      <c r="O21" s="30">
        <f t="shared" si="7"/>
        <v>0</v>
      </c>
      <c r="P21" s="30">
        <f t="shared" si="8"/>
        <v>0</v>
      </c>
      <c r="Q21" s="30">
        <f t="shared" si="9"/>
        <v>0</v>
      </c>
      <c r="R21" s="30">
        <f t="shared" si="10"/>
        <v>0</v>
      </c>
      <c r="S21" s="30">
        <f t="shared" si="11"/>
        <v>0</v>
      </c>
      <c r="T21" s="30">
        <f t="shared" si="12"/>
        <v>0</v>
      </c>
      <c r="U21" s="30">
        <f t="shared" si="13"/>
        <v>0</v>
      </c>
    </row>
    <row r="22" spans="1:21" x14ac:dyDescent="0.2">
      <c r="A22" s="28" t="s">
        <v>32</v>
      </c>
      <c r="B22" s="30">
        <f t="shared" si="4"/>
        <v>0</v>
      </c>
      <c r="C22" s="30">
        <f t="shared" ref="C22:M22" si="17">C21+C10</f>
        <v>0</v>
      </c>
      <c r="D22" s="30">
        <f t="shared" si="17"/>
        <v>0</v>
      </c>
      <c r="E22" s="30">
        <f t="shared" si="17"/>
        <v>0</v>
      </c>
      <c r="F22" s="30">
        <f t="shared" si="17"/>
        <v>4916</v>
      </c>
      <c r="G22" s="30">
        <f t="shared" si="17"/>
        <v>0</v>
      </c>
      <c r="H22" s="30">
        <f t="shared" si="17"/>
        <v>0</v>
      </c>
      <c r="I22" s="30">
        <f t="shared" si="17"/>
        <v>0</v>
      </c>
      <c r="J22" s="30">
        <f t="shared" si="17"/>
        <v>9459</v>
      </c>
      <c r="K22" s="30">
        <f t="shared" si="17"/>
        <v>0</v>
      </c>
      <c r="L22" s="30">
        <f t="shared" si="17"/>
        <v>0</v>
      </c>
      <c r="M22" s="30">
        <f t="shared" si="17"/>
        <v>0</v>
      </c>
      <c r="N22" s="30">
        <f t="shared" si="6"/>
        <v>8492</v>
      </c>
      <c r="O22" s="30">
        <f t="shared" si="7"/>
        <v>0</v>
      </c>
      <c r="P22" s="30">
        <f t="shared" si="8"/>
        <v>0</v>
      </c>
      <c r="Q22" s="30">
        <f t="shared" si="9"/>
        <v>0</v>
      </c>
      <c r="R22" s="30">
        <f t="shared" si="10"/>
        <v>49</v>
      </c>
      <c r="S22" s="30">
        <f t="shared" si="11"/>
        <v>0</v>
      </c>
      <c r="T22" s="30">
        <f t="shared" si="12"/>
        <v>0</v>
      </c>
      <c r="U22" s="30">
        <f t="shared" si="13"/>
        <v>0</v>
      </c>
    </row>
    <row r="23" spans="1:21" x14ac:dyDescent="0.2">
      <c r="A23" s="28" t="s">
        <v>33</v>
      </c>
      <c r="B23" s="30">
        <f t="shared" si="4"/>
        <v>0</v>
      </c>
      <c r="C23" s="30">
        <f t="shared" ref="C23:M23" si="18">C22+C11</f>
        <v>0</v>
      </c>
      <c r="D23" s="30">
        <f t="shared" si="18"/>
        <v>0</v>
      </c>
      <c r="E23" s="30">
        <f t="shared" si="18"/>
        <v>0</v>
      </c>
      <c r="F23" s="30">
        <f t="shared" si="18"/>
        <v>5406</v>
      </c>
      <c r="G23" s="30">
        <f t="shared" si="18"/>
        <v>0</v>
      </c>
      <c r="H23" s="30">
        <f t="shared" si="18"/>
        <v>0</v>
      </c>
      <c r="I23" s="30">
        <f t="shared" si="18"/>
        <v>0</v>
      </c>
      <c r="J23" s="30">
        <f t="shared" si="18"/>
        <v>13058</v>
      </c>
      <c r="K23" s="30">
        <f t="shared" si="18"/>
        <v>0</v>
      </c>
      <c r="L23" s="30">
        <f t="shared" si="18"/>
        <v>0</v>
      </c>
      <c r="M23" s="30">
        <f t="shared" si="18"/>
        <v>0</v>
      </c>
      <c r="N23" s="30">
        <f t="shared" si="6"/>
        <v>9322</v>
      </c>
      <c r="O23" s="30">
        <f t="shared" si="7"/>
        <v>0</v>
      </c>
      <c r="P23" s="30">
        <f t="shared" si="8"/>
        <v>0</v>
      </c>
      <c r="Q23" s="30">
        <f t="shared" si="9"/>
        <v>0</v>
      </c>
      <c r="R23" s="30">
        <f t="shared" si="10"/>
        <v>105</v>
      </c>
      <c r="S23" s="30">
        <f t="shared" si="11"/>
        <v>0</v>
      </c>
      <c r="T23" s="30">
        <f t="shared" si="12"/>
        <v>0</v>
      </c>
      <c r="U23" s="30">
        <f t="shared" si="13"/>
        <v>0</v>
      </c>
    </row>
    <row r="24" spans="1:21" x14ac:dyDescent="0.2">
      <c r="A24" s="28" t="s">
        <v>34</v>
      </c>
      <c r="B24" s="30">
        <f t="shared" si="4"/>
        <v>0</v>
      </c>
      <c r="C24" s="30">
        <f t="shared" ref="C24:M24" si="19">C23+C12</f>
        <v>0</v>
      </c>
      <c r="D24" s="30">
        <f t="shared" si="19"/>
        <v>0</v>
      </c>
      <c r="E24" s="30">
        <f t="shared" si="19"/>
        <v>0</v>
      </c>
      <c r="F24" s="30">
        <f t="shared" si="19"/>
        <v>6016</v>
      </c>
      <c r="G24" s="30">
        <f t="shared" si="19"/>
        <v>0</v>
      </c>
      <c r="H24" s="30">
        <f t="shared" si="19"/>
        <v>0</v>
      </c>
      <c r="I24" s="30">
        <f t="shared" si="19"/>
        <v>0</v>
      </c>
      <c r="J24" s="30">
        <f t="shared" si="19"/>
        <v>17127</v>
      </c>
      <c r="K24" s="30">
        <f t="shared" si="19"/>
        <v>0</v>
      </c>
      <c r="L24" s="30">
        <f t="shared" si="19"/>
        <v>0</v>
      </c>
      <c r="M24" s="30">
        <f t="shared" si="19"/>
        <v>0</v>
      </c>
      <c r="N24" s="30">
        <f t="shared" si="6"/>
        <v>10240</v>
      </c>
      <c r="O24" s="30">
        <f t="shared" si="7"/>
        <v>0</v>
      </c>
      <c r="P24" s="30">
        <f t="shared" si="8"/>
        <v>0</v>
      </c>
      <c r="Q24" s="30">
        <f t="shared" si="9"/>
        <v>0</v>
      </c>
      <c r="R24" s="30">
        <f t="shared" si="10"/>
        <v>187</v>
      </c>
      <c r="S24" s="30">
        <f t="shared" si="11"/>
        <v>0</v>
      </c>
      <c r="T24" s="30">
        <f t="shared" si="12"/>
        <v>0</v>
      </c>
      <c r="U24" s="30">
        <f t="shared" si="13"/>
        <v>0</v>
      </c>
    </row>
    <row r="25" spans="1:21" x14ac:dyDescent="0.2">
      <c r="A25" s="29" t="s">
        <v>35</v>
      </c>
      <c r="B25" s="31">
        <f t="shared" si="4"/>
        <v>0</v>
      </c>
      <c r="C25" s="31">
        <f t="shared" ref="C25:M25" si="20">C24+C13</f>
        <v>0</v>
      </c>
      <c r="D25" s="31">
        <f t="shared" si="20"/>
        <v>0</v>
      </c>
      <c r="E25" s="31">
        <f t="shared" si="20"/>
        <v>0</v>
      </c>
      <c r="F25" s="31">
        <f t="shared" si="20"/>
        <v>6766</v>
      </c>
      <c r="G25" s="31">
        <f t="shared" si="20"/>
        <v>0</v>
      </c>
      <c r="H25" s="31">
        <f t="shared" si="20"/>
        <v>0</v>
      </c>
      <c r="I25" s="31">
        <f t="shared" si="20"/>
        <v>0</v>
      </c>
      <c r="J25" s="31">
        <f t="shared" si="20"/>
        <v>21426</v>
      </c>
      <c r="K25" s="31">
        <f t="shared" si="20"/>
        <v>0</v>
      </c>
      <c r="L25" s="31">
        <f t="shared" si="20"/>
        <v>0</v>
      </c>
      <c r="M25" s="31">
        <f t="shared" si="20"/>
        <v>0</v>
      </c>
      <c r="N25" s="31">
        <f t="shared" si="6"/>
        <v>11193</v>
      </c>
      <c r="O25" s="31">
        <f t="shared" si="7"/>
        <v>0</v>
      </c>
      <c r="P25" s="31">
        <f t="shared" si="8"/>
        <v>0</v>
      </c>
      <c r="Q25" s="31">
        <f t="shared" si="9"/>
        <v>0</v>
      </c>
      <c r="R25" s="31">
        <f t="shared" si="10"/>
        <v>278</v>
      </c>
      <c r="S25" s="31">
        <f t="shared" si="11"/>
        <v>0</v>
      </c>
      <c r="T25" s="31">
        <f t="shared" si="12"/>
        <v>0</v>
      </c>
      <c r="U25" s="31">
        <f t="shared" si="13"/>
        <v>0</v>
      </c>
    </row>
    <row r="26" spans="1:21" x14ac:dyDescent="0.2">
      <c r="A26" s="29" t="s">
        <v>36</v>
      </c>
      <c r="B26" s="31">
        <f t="shared" si="4"/>
        <v>0</v>
      </c>
      <c r="C26" s="31">
        <f t="shared" ref="C26:M26" si="21">C25+C14</f>
        <v>0</v>
      </c>
      <c r="D26" s="31">
        <f t="shared" si="21"/>
        <v>0</v>
      </c>
      <c r="E26" s="31">
        <f t="shared" si="21"/>
        <v>0</v>
      </c>
      <c r="F26" s="31">
        <f t="shared" si="21"/>
        <v>7616</v>
      </c>
      <c r="G26" s="31">
        <f t="shared" si="21"/>
        <v>0</v>
      </c>
      <c r="H26" s="31">
        <f t="shared" si="21"/>
        <v>0</v>
      </c>
      <c r="I26" s="31">
        <f t="shared" si="21"/>
        <v>0</v>
      </c>
      <c r="J26" s="31">
        <f t="shared" si="21"/>
        <v>25985</v>
      </c>
      <c r="K26" s="31">
        <f t="shared" si="21"/>
        <v>0</v>
      </c>
      <c r="L26" s="31">
        <f t="shared" si="21"/>
        <v>0</v>
      </c>
      <c r="M26" s="31">
        <f t="shared" si="21"/>
        <v>0</v>
      </c>
      <c r="N26" s="31">
        <f t="shared" si="6"/>
        <v>12152</v>
      </c>
      <c r="O26" s="31">
        <f t="shared" si="7"/>
        <v>0</v>
      </c>
      <c r="P26" s="31">
        <f t="shared" si="8"/>
        <v>0</v>
      </c>
      <c r="Q26" s="31">
        <f t="shared" si="9"/>
        <v>0</v>
      </c>
      <c r="R26" s="31">
        <f t="shared" si="10"/>
        <v>386</v>
      </c>
      <c r="S26" s="31">
        <f t="shared" si="11"/>
        <v>0</v>
      </c>
      <c r="T26" s="31">
        <f t="shared" si="12"/>
        <v>0</v>
      </c>
      <c r="U26" s="31">
        <f t="shared" si="13"/>
        <v>0</v>
      </c>
    </row>
    <row r="27" spans="1:21" x14ac:dyDescent="0.2">
      <c r="A27" s="12" t="s">
        <v>15</v>
      </c>
      <c r="B27" s="32">
        <f t="shared" si="4"/>
        <v>0</v>
      </c>
      <c r="C27" s="32">
        <f t="shared" ref="C27:M27" si="22">C26+C15</f>
        <v>0</v>
      </c>
      <c r="D27" s="32">
        <f t="shared" si="22"/>
        <v>0</v>
      </c>
      <c r="E27" s="32">
        <f t="shared" si="22"/>
        <v>0</v>
      </c>
      <c r="F27" s="32">
        <f t="shared" si="22"/>
        <v>8500</v>
      </c>
      <c r="G27" s="32">
        <f t="shared" si="22"/>
        <v>0</v>
      </c>
      <c r="H27" s="32">
        <f t="shared" si="22"/>
        <v>0</v>
      </c>
      <c r="I27" s="32">
        <f t="shared" si="22"/>
        <v>0</v>
      </c>
      <c r="J27" s="32">
        <f t="shared" si="22"/>
        <v>30506</v>
      </c>
      <c r="K27" s="32">
        <f t="shared" si="22"/>
        <v>0</v>
      </c>
      <c r="L27" s="32">
        <f t="shared" si="22"/>
        <v>0</v>
      </c>
      <c r="M27" s="32">
        <f t="shared" si="22"/>
        <v>0</v>
      </c>
      <c r="N27" s="32">
        <f t="shared" si="6"/>
        <v>13108</v>
      </c>
      <c r="O27" s="32">
        <f t="shared" si="7"/>
        <v>0</v>
      </c>
      <c r="P27" s="32">
        <f t="shared" si="8"/>
        <v>0</v>
      </c>
      <c r="Q27" s="32">
        <f t="shared" si="9"/>
        <v>0</v>
      </c>
      <c r="R27" s="32">
        <f t="shared" si="10"/>
        <v>500</v>
      </c>
      <c r="S27" s="32">
        <f t="shared" si="11"/>
        <v>0</v>
      </c>
      <c r="T27" s="32">
        <f t="shared" si="12"/>
        <v>0</v>
      </c>
      <c r="U27" s="32">
        <f t="shared" si="13"/>
        <v>0</v>
      </c>
    </row>
    <row r="30" spans="1:21" x14ac:dyDescent="0.2">
      <c r="F30">
        <v>8500</v>
      </c>
    </row>
  </sheetData>
  <mergeCells count="7">
    <mergeCell ref="O2:Q2"/>
    <mergeCell ref="S2:U2"/>
    <mergeCell ref="K2:M2"/>
    <mergeCell ref="B1:D1"/>
    <mergeCell ref="F1:H1"/>
    <mergeCell ref="C2:E2"/>
    <mergeCell ref="G2:I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J18" sqref="J18"/>
    </sheetView>
  </sheetViews>
  <sheetFormatPr defaultRowHeight="12.75" x14ac:dyDescent="0.2"/>
  <cols>
    <col min="2" max="5" width="0" hidden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192</v>
      </c>
      <c r="P1" s="119"/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21" t="s">
        <v>27</v>
      </c>
      <c r="L3" s="21" t="s">
        <v>26</v>
      </c>
      <c r="M3" s="134" t="s">
        <v>105</v>
      </c>
      <c r="N3" s="7"/>
      <c r="O3" s="21" t="s">
        <v>27</v>
      </c>
      <c r="P3" s="21" t="s">
        <v>26</v>
      </c>
      <c r="Q3" s="134" t="s">
        <v>105</v>
      </c>
    </row>
    <row r="4" spans="1:27" x14ac:dyDescent="0.2">
      <c r="A4" s="1" t="s">
        <v>4</v>
      </c>
      <c r="B4" s="22">
        <f>C4+D4</f>
        <v>0</v>
      </c>
      <c r="C4" s="22"/>
      <c r="D4" s="22"/>
      <c r="E4" s="22"/>
      <c r="F4" s="22"/>
      <c r="G4" s="22"/>
      <c r="H4" s="22"/>
      <c r="I4" s="22"/>
      <c r="J4" s="125"/>
      <c r="K4" s="22"/>
      <c r="L4" s="22"/>
      <c r="M4" s="21"/>
      <c r="N4" s="125"/>
      <c r="O4" s="22"/>
      <c r="P4" s="22"/>
      <c r="Q4" s="21"/>
    </row>
    <row r="5" spans="1:27" x14ac:dyDescent="0.2">
      <c r="A5" s="1" t="s">
        <v>7</v>
      </c>
      <c r="B5" s="22">
        <f t="shared" ref="B5:B15" si="0">C5+D5</f>
        <v>0</v>
      </c>
      <c r="C5" s="22"/>
      <c r="D5" s="22"/>
      <c r="E5" s="22"/>
      <c r="F5" s="22">
        <v>12</v>
      </c>
      <c r="G5" s="22"/>
      <c r="H5" s="22"/>
      <c r="I5" s="22"/>
      <c r="J5" s="125"/>
      <c r="K5" s="22"/>
      <c r="L5" s="22"/>
      <c r="M5" s="21"/>
      <c r="N5" s="125"/>
      <c r="O5" s="22"/>
      <c r="P5" s="22"/>
      <c r="Q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v>25</v>
      </c>
      <c r="G6" s="22"/>
      <c r="H6" s="22"/>
      <c r="I6" s="22"/>
      <c r="J6" s="125">
        <v>10</v>
      </c>
      <c r="K6" s="22"/>
      <c r="L6" s="22"/>
      <c r="M6" s="21"/>
      <c r="N6" s="22">
        <v>30</v>
      </c>
      <c r="O6" s="22"/>
      <c r="P6" s="22"/>
      <c r="Q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v>58</v>
      </c>
      <c r="G7" s="22"/>
      <c r="H7" s="22"/>
      <c r="I7" s="22"/>
      <c r="J7" s="125">
        <v>10</v>
      </c>
      <c r="K7" s="22"/>
      <c r="L7" s="22"/>
      <c r="M7" s="21"/>
      <c r="N7" s="22">
        <v>30</v>
      </c>
      <c r="O7" s="22"/>
      <c r="P7" s="22"/>
      <c r="Q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v>60</v>
      </c>
      <c r="G8" s="22"/>
      <c r="H8" s="22"/>
      <c r="I8" s="22"/>
      <c r="J8" s="125">
        <v>20</v>
      </c>
      <c r="K8" s="22"/>
      <c r="L8" s="22"/>
      <c r="M8" s="21"/>
      <c r="N8" s="22">
        <v>120</v>
      </c>
      <c r="O8" s="22"/>
      <c r="P8" s="22"/>
      <c r="Q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v>70</v>
      </c>
      <c r="G9" s="22"/>
      <c r="H9" s="22"/>
      <c r="I9" s="22"/>
      <c r="J9" s="125">
        <v>59</v>
      </c>
      <c r="K9" s="22"/>
      <c r="L9" s="22"/>
      <c r="M9" s="21"/>
      <c r="N9" s="22">
        <v>246</v>
      </c>
      <c r="O9" s="22"/>
      <c r="P9" s="22"/>
      <c r="Q9" s="21"/>
    </row>
    <row r="10" spans="1:27" x14ac:dyDescent="0.2">
      <c r="A10" s="82" t="s">
        <v>19</v>
      </c>
      <c r="B10" s="104">
        <f t="shared" si="0"/>
        <v>0</v>
      </c>
      <c r="C10" s="104"/>
      <c r="D10" s="84"/>
      <c r="E10" s="84"/>
      <c r="F10" s="22">
        <v>200</v>
      </c>
      <c r="G10" s="104"/>
      <c r="H10" s="84"/>
      <c r="I10" s="84"/>
      <c r="J10" s="125">
        <v>20</v>
      </c>
      <c r="K10" s="22"/>
      <c r="L10" s="22"/>
      <c r="M10" s="21"/>
      <c r="N10" s="22">
        <v>76</v>
      </c>
      <c r="O10" s="22"/>
      <c r="P10" s="22"/>
      <c r="Q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v>300</v>
      </c>
      <c r="G11" s="22"/>
      <c r="H11" s="22"/>
      <c r="I11" s="22"/>
      <c r="J11" s="125">
        <v>20</v>
      </c>
      <c r="K11" s="22"/>
      <c r="L11" s="22"/>
      <c r="M11" s="21"/>
      <c r="N11" s="22">
        <v>138</v>
      </c>
      <c r="O11" s="22"/>
      <c r="P11" s="22"/>
      <c r="Q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v>300</v>
      </c>
      <c r="G12" s="22"/>
      <c r="H12" s="22"/>
      <c r="I12" s="22"/>
      <c r="J12" s="125">
        <v>181</v>
      </c>
      <c r="K12" s="22"/>
      <c r="L12" s="22"/>
      <c r="M12" s="21"/>
      <c r="N12" s="22">
        <v>740</v>
      </c>
      <c r="O12" s="22"/>
      <c r="P12" s="22"/>
      <c r="Q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v>300</v>
      </c>
      <c r="G13" s="22"/>
      <c r="H13" s="22"/>
      <c r="I13" s="22"/>
      <c r="J13" s="125">
        <v>220</v>
      </c>
      <c r="K13" s="22"/>
      <c r="L13" s="22"/>
      <c r="M13" s="21"/>
      <c r="N13" s="22">
        <v>740</v>
      </c>
      <c r="O13" s="22"/>
      <c r="P13" s="22"/>
      <c r="Q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v>375</v>
      </c>
      <c r="G14" s="22"/>
      <c r="H14" s="22"/>
      <c r="I14" s="22"/>
      <c r="J14" s="125">
        <v>230</v>
      </c>
      <c r="K14" s="22"/>
      <c r="L14" s="22"/>
      <c r="M14" s="21"/>
      <c r="N14" s="22">
        <v>740</v>
      </c>
      <c r="O14" s="22"/>
      <c r="P14" s="22"/>
      <c r="Q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v>400</v>
      </c>
      <c r="G15" s="22"/>
      <c r="H15" s="22"/>
      <c r="I15" s="22"/>
      <c r="J15" s="125">
        <v>230</v>
      </c>
      <c r="K15" s="22"/>
      <c r="L15" s="22"/>
      <c r="M15" s="21"/>
      <c r="N15" s="22">
        <v>740</v>
      </c>
      <c r="O15" s="22"/>
      <c r="P15" s="22"/>
      <c r="Q15" s="21"/>
    </row>
    <row r="16" spans="1:27" x14ac:dyDescent="0.2">
      <c r="A16" s="1" t="s">
        <v>6</v>
      </c>
      <c r="B16" s="22">
        <f>SUM(B4:B15)</f>
        <v>0</v>
      </c>
      <c r="C16" s="22">
        <f t="shared" ref="C16:M16" si="1">SUM(C4:C15)</f>
        <v>0</v>
      </c>
      <c r="D16" s="22">
        <f t="shared" si="1"/>
        <v>0</v>
      </c>
      <c r="E16" s="22"/>
      <c r="F16" s="22">
        <f t="shared" si="1"/>
        <v>2100</v>
      </c>
      <c r="G16" s="22">
        <f t="shared" si="1"/>
        <v>0</v>
      </c>
      <c r="H16" s="22">
        <f t="shared" si="1"/>
        <v>0</v>
      </c>
      <c r="I16" s="22"/>
      <c r="J16" s="125">
        <f t="shared" si="1"/>
        <v>1000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125">
        <f>SUM(N4:N15)</f>
        <v>3600</v>
      </c>
      <c r="O16" s="22">
        <f>SUM(O4:O15)</f>
        <v>0</v>
      </c>
      <c r="P16" s="22">
        <f>SUM(P4:P15)</f>
        <v>0</v>
      </c>
      <c r="Q16" s="22">
        <f>SUM(Q4:Q15)</f>
        <v>0</v>
      </c>
    </row>
    <row r="17" spans="1:17" x14ac:dyDescent="0.2">
      <c r="A17" s="28" t="s">
        <v>28</v>
      </c>
      <c r="B17" s="30">
        <f>B4+B5</f>
        <v>0</v>
      </c>
      <c r="C17" s="30">
        <f t="shared" ref="C17:L17" si="2">C4+C5</f>
        <v>0</v>
      </c>
      <c r="D17" s="30">
        <f t="shared" si="2"/>
        <v>0</v>
      </c>
      <c r="E17" s="30"/>
      <c r="F17" s="30">
        <f t="shared" si="2"/>
        <v>12</v>
      </c>
      <c r="G17" s="30">
        <f t="shared" si="2"/>
        <v>0</v>
      </c>
      <c r="H17" s="30">
        <f t="shared" si="2"/>
        <v>0</v>
      </c>
      <c r="I17" s="30"/>
      <c r="J17" s="30">
        <f t="shared" si="2"/>
        <v>0</v>
      </c>
      <c r="K17" s="133">
        <f t="shared" si="2"/>
        <v>0</v>
      </c>
      <c r="L17" s="133">
        <f t="shared" si="2"/>
        <v>0</v>
      </c>
      <c r="M17" s="133">
        <f>M4+M5</f>
        <v>0</v>
      </c>
      <c r="N17" s="30">
        <f>N4+N5</f>
        <v>0</v>
      </c>
      <c r="O17" s="133">
        <f>O4+O5</f>
        <v>0</v>
      </c>
      <c r="P17" s="133">
        <f>P4+P5</f>
        <v>0</v>
      </c>
      <c r="Q17" s="133">
        <f>Q4+Q5</f>
        <v>0</v>
      </c>
    </row>
    <row r="18" spans="1:17" x14ac:dyDescent="0.2">
      <c r="A18" s="28" t="s">
        <v>96</v>
      </c>
      <c r="B18" s="30">
        <f t="shared" ref="B18:M27" si="3">B17+B6</f>
        <v>0</v>
      </c>
      <c r="C18" s="30">
        <f t="shared" si="3"/>
        <v>0</v>
      </c>
      <c r="D18" s="30">
        <f t="shared" si="3"/>
        <v>0</v>
      </c>
      <c r="E18" s="30"/>
      <c r="F18" s="30">
        <f t="shared" si="3"/>
        <v>37</v>
      </c>
      <c r="G18" s="30">
        <f t="shared" si="3"/>
        <v>0</v>
      </c>
      <c r="H18" s="30">
        <f t="shared" si="3"/>
        <v>0</v>
      </c>
      <c r="I18" s="30"/>
      <c r="J18" s="30">
        <f t="shared" si="3"/>
        <v>10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ref="N18:N27" si="4">N17+N6</f>
        <v>30</v>
      </c>
      <c r="O18" s="30">
        <f t="shared" ref="O18:O27" si="5">O17+O6</f>
        <v>0</v>
      </c>
      <c r="P18" s="30">
        <f t="shared" ref="P18:P27" si="6">P17+P6</f>
        <v>0</v>
      </c>
      <c r="Q18" s="30">
        <f t="shared" ref="Q18:Q27" si="7">Q17+Q6</f>
        <v>0</v>
      </c>
    </row>
    <row r="19" spans="1:17" x14ac:dyDescent="0.2">
      <c r="A19" s="28" t="s">
        <v>29</v>
      </c>
      <c r="B19" s="30">
        <f t="shared" si="3"/>
        <v>0</v>
      </c>
      <c r="C19" s="30">
        <f t="shared" si="3"/>
        <v>0</v>
      </c>
      <c r="D19" s="30">
        <f t="shared" si="3"/>
        <v>0</v>
      </c>
      <c r="E19" s="30"/>
      <c r="F19" s="30">
        <f t="shared" si="3"/>
        <v>95</v>
      </c>
      <c r="G19" s="30">
        <f t="shared" si="3"/>
        <v>0</v>
      </c>
      <c r="H19" s="30">
        <f t="shared" si="3"/>
        <v>0</v>
      </c>
      <c r="I19" s="30"/>
      <c r="J19" s="30">
        <f t="shared" si="3"/>
        <v>20</v>
      </c>
      <c r="K19" s="30">
        <f t="shared" si="3"/>
        <v>0</v>
      </c>
      <c r="L19" s="30">
        <f t="shared" si="3"/>
        <v>0</v>
      </c>
      <c r="M19" s="30">
        <f t="shared" si="3"/>
        <v>0</v>
      </c>
      <c r="N19" s="30">
        <f t="shared" si="4"/>
        <v>60</v>
      </c>
      <c r="O19" s="30">
        <f t="shared" si="5"/>
        <v>0</v>
      </c>
      <c r="P19" s="30">
        <f t="shared" si="6"/>
        <v>0</v>
      </c>
      <c r="Q19" s="30">
        <f t="shared" si="7"/>
        <v>0</v>
      </c>
    </row>
    <row r="20" spans="1:17" x14ac:dyDescent="0.2">
      <c r="A20" s="28" t="s">
        <v>30</v>
      </c>
      <c r="B20" s="30">
        <f t="shared" si="3"/>
        <v>0</v>
      </c>
      <c r="C20" s="30">
        <f t="shared" si="3"/>
        <v>0</v>
      </c>
      <c r="D20" s="30">
        <f t="shared" si="3"/>
        <v>0</v>
      </c>
      <c r="E20" s="30"/>
      <c r="F20" s="30">
        <f t="shared" si="3"/>
        <v>155</v>
      </c>
      <c r="G20" s="30">
        <f t="shared" si="3"/>
        <v>0</v>
      </c>
      <c r="H20" s="30">
        <f t="shared" si="3"/>
        <v>0</v>
      </c>
      <c r="I20" s="30"/>
      <c r="J20" s="30">
        <f t="shared" si="3"/>
        <v>40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4"/>
        <v>180</v>
      </c>
      <c r="O20" s="30">
        <f t="shared" si="5"/>
        <v>0</v>
      </c>
      <c r="P20" s="30">
        <f t="shared" si="6"/>
        <v>0</v>
      </c>
      <c r="Q20" s="30">
        <f t="shared" si="7"/>
        <v>0</v>
      </c>
    </row>
    <row r="21" spans="1:17" x14ac:dyDescent="0.2">
      <c r="A21" s="28" t="s">
        <v>31</v>
      </c>
      <c r="B21" s="30">
        <f t="shared" si="3"/>
        <v>0</v>
      </c>
      <c r="C21" s="30">
        <f t="shared" si="3"/>
        <v>0</v>
      </c>
      <c r="D21" s="30">
        <f t="shared" si="3"/>
        <v>0</v>
      </c>
      <c r="E21" s="30"/>
      <c r="F21" s="30">
        <f t="shared" si="3"/>
        <v>225</v>
      </c>
      <c r="G21" s="30">
        <f t="shared" si="3"/>
        <v>0</v>
      </c>
      <c r="H21" s="30">
        <f t="shared" si="3"/>
        <v>0</v>
      </c>
      <c r="I21" s="30"/>
      <c r="J21" s="30">
        <f t="shared" si="3"/>
        <v>99</v>
      </c>
      <c r="K21" s="30">
        <f t="shared" si="3"/>
        <v>0</v>
      </c>
      <c r="L21" s="30">
        <f t="shared" si="3"/>
        <v>0</v>
      </c>
      <c r="M21" s="30">
        <f t="shared" si="3"/>
        <v>0</v>
      </c>
      <c r="N21" s="30">
        <f t="shared" si="4"/>
        <v>426</v>
      </c>
      <c r="O21" s="30">
        <f t="shared" si="5"/>
        <v>0</v>
      </c>
      <c r="P21" s="30">
        <f t="shared" si="6"/>
        <v>0</v>
      </c>
      <c r="Q21" s="30">
        <f t="shared" si="7"/>
        <v>0</v>
      </c>
    </row>
    <row r="22" spans="1:17" x14ac:dyDescent="0.2">
      <c r="A22" s="28" t="s">
        <v>32</v>
      </c>
      <c r="B22" s="30">
        <f t="shared" si="3"/>
        <v>0</v>
      </c>
      <c r="C22" s="30">
        <f t="shared" si="3"/>
        <v>0</v>
      </c>
      <c r="D22" s="30">
        <f t="shared" si="3"/>
        <v>0</v>
      </c>
      <c r="E22" s="30"/>
      <c r="F22" s="30">
        <f t="shared" si="3"/>
        <v>425</v>
      </c>
      <c r="G22" s="30">
        <f t="shared" si="3"/>
        <v>0</v>
      </c>
      <c r="H22" s="30">
        <f t="shared" si="3"/>
        <v>0</v>
      </c>
      <c r="I22" s="30"/>
      <c r="J22" s="30">
        <f t="shared" si="3"/>
        <v>119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0">
        <f t="shared" si="4"/>
        <v>502</v>
      </c>
      <c r="O22" s="30">
        <f t="shared" si="5"/>
        <v>0</v>
      </c>
      <c r="P22" s="30">
        <f t="shared" si="6"/>
        <v>0</v>
      </c>
      <c r="Q22" s="30">
        <f t="shared" si="7"/>
        <v>0</v>
      </c>
    </row>
    <row r="23" spans="1:17" x14ac:dyDescent="0.2">
      <c r="A23" s="28" t="s">
        <v>33</v>
      </c>
      <c r="B23" s="30">
        <f t="shared" si="3"/>
        <v>0</v>
      </c>
      <c r="C23" s="30">
        <f t="shared" si="3"/>
        <v>0</v>
      </c>
      <c r="D23" s="30">
        <f t="shared" si="3"/>
        <v>0</v>
      </c>
      <c r="E23" s="30"/>
      <c r="F23" s="30">
        <f t="shared" si="3"/>
        <v>725</v>
      </c>
      <c r="G23" s="30">
        <f t="shared" si="3"/>
        <v>0</v>
      </c>
      <c r="H23" s="30">
        <f t="shared" si="3"/>
        <v>0</v>
      </c>
      <c r="I23" s="30"/>
      <c r="J23" s="30">
        <f t="shared" si="3"/>
        <v>139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30">
        <f t="shared" si="4"/>
        <v>640</v>
      </c>
      <c r="O23" s="30">
        <f t="shared" si="5"/>
        <v>0</v>
      </c>
      <c r="P23" s="30">
        <f t="shared" si="6"/>
        <v>0</v>
      </c>
      <c r="Q23" s="30">
        <f t="shared" si="7"/>
        <v>0</v>
      </c>
    </row>
    <row r="24" spans="1:17" x14ac:dyDescent="0.2">
      <c r="A24" s="28" t="s">
        <v>34</v>
      </c>
      <c r="B24" s="30">
        <f t="shared" si="3"/>
        <v>0</v>
      </c>
      <c r="C24" s="30">
        <f t="shared" si="3"/>
        <v>0</v>
      </c>
      <c r="D24" s="30">
        <f t="shared" si="3"/>
        <v>0</v>
      </c>
      <c r="E24" s="30"/>
      <c r="F24" s="30">
        <f t="shared" si="3"/>
        <v>1025</v>
      </c>
      <c r="G24" s="30">
        <f t="shared" si="3"/>
        <v>0</v>
      </c>
      <c r="H24" s="30">
        <f t="shared" si="3"/>
        <v>0</v>
      </c>
      <c r="I24" s="30"/>
      <c r="J24" s="30">
        <f t="shared" si="3"/>
        <v>320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4"/>
        <v>1380</v>
      </c>
      <c r="O24" s="30">
        <f t="shared" si="5"/>
        <v>0</v>
      </c>
      <c r="P24" s="30">
        <f t="shared" si="6"/>
        <v>0</v>
      </c>
      <c r="Q24" s="30">
        <f t="shared" si="7"/>
        <v>0</v>
      </c>
    </row>
    <row r="25" spans="1:17" x14ac:dyDescent="0.2">
      <c r="A25" s="29" t="s">
        <v>35</v>
      </c>
      <c r="B25" s="31">
        <f t="shared" si="3"/>
        <v>0</v>
      </c>
      <c r="C25" s="31">
        <f t="shared" si="3"/>
        <v>0</v>
      </c>
      <c r="D25" s="31">
        <f t="shared" si="3"/>
        <v>0</v>
      </c>
      <c r="E25" s="31"/>
      <c r="F25" s="31">
        <f t="shared" si="3"/>
        <v>1325</v>
      </c>
      <c r="G25" s="31">
        <f t="shared" si="3"/>
        <v>0</v>
      </c>
      <c r="H25" s="31">
        <f t="shared" si="3"/>
        <v>0</v>
      </c>
      <c r="I25" s="31"/>
      <c r="J25" s="31">
        <f t="shared" si="3"/>
        <v>540</v>
      </c>
      <c r="K25" s="31">
        <f t="shared" si="3"/>
        <v>0</v>
      </c>
      <c r="L25" s="31">
        <f t="shared" si="3"/>
        <v>0</v>
      </c>
      <c r="M25" s="31">
        <f t="shared" si="3"/>
        <v>0</v>
      </c>
      <c r="N25" s="31">
        <f t="shared" si="4"/>
        <v>2120</v>
      </c>
      <c r="O25" s="31">
        <f t="shared" si="5"/>
        <v>0</v>
      </c>
      <c r="P25" s="31">
        <f t="shared" si="6"/>
        <v>0</v>
      </c>
      <c r="Q25" s="31">
        <f t="shared" si="7"/>
        <v>0</v>
      </c>
    </row>
    <row r="26" spans="1:17" x14ac:dyDescent="0.2">
      <c r="A26" s="29" t="s">
        <v>36</v>
      </c>
      <c r="B26" s="31">
        <f t="shared" si="3"/>
        <v>0</v>
      </c>
      <c r="C26" s="31">
        <f t="shared" si="3"/>
        <v>0</v>
      </c>
      <c r="D26" s="31">
        <f t="shared" si="3"/>
        <v>0</v>
      </c>
      <c r="E26" s="31"/>
      <c r="F26" s="31">
        <f t="shared" si="3"/>
        <v>1700</v>
      </c>
      <c r="G26" s="31">
        <f t="shared" si="3"/>
        <v>0</v>
      </c>
      <c r="H26" s="31">
        <f t="shared" si="3"/>
        <v>0</v>
      </c>
      <c r="I26" s="31"/>
      <c r="J26" s="31">
        <f t="shared" si="3"/>
        <v>770</v>
      </c>
      <c r="K26" s="31">
        <f t="shared" si="3"/>
        <v>0</v>
      </c>
      <c r="L26" s="31">
        <f t="shared" si="3"/>
        <v>0</v>
      </c>
      <c r="M26" s="31">
        <f t="shared" si="3"/>
        <v>0</v>
      </c>
      <c r="N26" s="31">
        <f t="shared" si="4"/>
        <v>2860</v>
      </c>
      <c r="O26" s="31">
        <f t="shared" si="5"/>
        <v>0</v>
      </c>
      <c r="P26" s="31">
        <f t="shared" si="6"/>
        <v>0</v>
      </c>
      <c r="Q26" s="31">
        <f t="shared" si="7"/>
        <v>0</v>
      </c>
    </row>
    <row r="27" spans="1:17" x14ac:dyDescent="0.2">
      <c r="A27" s="12" t="s">
        <v>15</v>
      </c>
      <c r="B27" s="32">
        <f t="shared" si="3"/>
        <v>0</v>
      </c>
      <c r="C27" s="32">
        <f t="shared" si="3"/>
        <v>0</v>
      </c>
      <c r="D27" s="32">
        <f t="shared" si="3"/>
        <v>0</v>
      </c>
      <c r="E27" s="32"/>
      <c r="F27" s="32">
        <f t="shared" si="3"/>
        <v>2100</v>
      </c>
      <c r="G27" s="32">
        <f t="shared" si="3"/>
        <v>0</v>
      </c>
      <c r="H27" s="32">
        <f t="shared" si="3"/>
        <v>0</v>
      </c>
      <c r="I27" s="32"/>
      <c r="J27" s="32">
        <f t="shared" si="3"/>
        <v>1000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4"/>
        <v>3600</v>
      </c>
      <c r="O27" s="32">
        <f t="shared" si="5"/>
        <v>0</v>
      </c>
      <c r="P27" s="32">
        <f t="shared" si="6"/>
        <v>0</v>
      </c>
      <c r="Q27" s="32">
        <f t="shared" si="7"/>
        <v>0</v>
      </c>
    </row>
  </sheetData>
  <mergeCells count="6">
    <mergeCell ref="O2:Q2"/>
    <mergeCell ref="K2:M2"/>
    <mergeCell ref="B1:D1"/>
    <mergeCell ref="F1:H1"/>
    <mergeCell ref="C2:D2"/>
    <mergeCell ref="G2:H2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10.5703125" hidden="1" customWidth="1"/>
    <col min="7" max="7" width="11" hidden="1" customWidth="1"/>
    <col min="8" max="9" width="10.85546875" hidden="1" customWidth="1"/>
    <col min="12" max="12" width="10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22</v>
      </c>
      <c r="P1" s="119"/>
      <c r="S1" t="s">
        <v>193</v>
      </c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21" t="s">
        <v>27</v>
      </c>
      <c r="L3" s="21" t="s">
        <v>26</v>
      </c>
      <c r="M3" s="134" t="s">
        <v>105</v>
      </c>
      <c r="N3" s="7"/>
      <c r="O3" s="21" t="s">
        <v>27</v>
      </c>
      <c r="P3" s="21" t="s">
        <v>26</v>
      </c>
      <c r="Q3" s="134" t="s">
        <v>105</v>
      </c>
    </row>
    <row r="4" spans="1:27" x14ac:dyDescent="0.2">
      <c r="A4" s="1" t="s">
        <v>4</v>
      </c>
      <c r="B4" s="22">
        <f>C4+D4</f>
        <v>0</v>
      </c>
      <c r="C4" s="22"/>
      <c r="D4" s="22"/>
      <c r="E4" s="22"/>
      <c r="F4" s="22">
        <f>G4+H4</f>
        <v>0</v>
      </c>
      <c r="G4" s="22"/>
      <c r="H4" s="22"/>
      <c r="I4" s="22"/>
      <c r="J4" s="125">
        <v>452</v>
      </c>
      <c r="K4" s="22"/>
      <c r="L4" s="22"/>
      <c r="M4" s="21"/>
      <c r="N4" s="125"/>
      <c r="O4" s="22"/>
      <c r="P4" s="22"/>
      <c r="Q4" s="21"/>
    </row>
    <row r="5" spans="1:27" x14ac:dyDescent="0.2">
      <c r="A5" s="1" t="s">
        <v>7</v>
      </c>
      <c r="B5" s="22">
        <f t="shared" ref="B5:B15" si="0">C5+D5</f>
        <v>0</v>
      </c>
      <c r="C5" s="22"/>
      <c r="D5" s="22"/>
      <c r="E5" s="22"/>
      <c r="F5" s="22">
        <f t="shared" ref="F5:F15" si="1">G5+H5</f>
        <v>0</v>
      </c>
      <c r="G5" s="22"/>
      <c r="H5" s="22"/>
      <c r="I5" s="22"/>
      <c r="J5" s="125">
        <v>452</v>
      </c>
      <c r="K5" s="22"/>
      <c r="L5" s="22"/>
      <c r="M5" s="21"/>
      <c r="N5" s="125"/>
      <c r="O5" s="22"/>
      <c r="P5" s="22"/>
      <c r="Q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125">
        <v>452</v>
      </c>
      <c r="K6" s="22"/>
      <c r="L6" s="22"/>
      <c r="M6" s="21"/>
      <c r="N6" s="125"/>
      <c r="O6" s="22"/>
      <c r="P6" s="22"/>
      <c r="Q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125">
        <v>452</v>
      </c>
      <c r="K7" s="22"/>
      <c r="L7" s="22"/>
      <c r="M7" s="21"/>
      <c r="N7" s="125"/>
      <c r="O7" s="22"/>
      <c r="P7" s="22"/>
      <c r="Q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125">
        <v>452</v>
      </c>
      <c r="K8" s="22"/>
      <c r="L8" s="22"/>
      <c r="M8" s="21"/>
      <c r="N8" s="125"/>
      <c r="O8" s="22"/>
      <c r="P8" s="22"/>
      <c r="Q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125">
        <v>452</v>
      </c>
      <c r="K9" s="22"/>
      <c r="L9" s="22"/>
      <c r="M9" s="21"/>
      <c r="N9" s="125"/>
      <c r="O9" s="22"/>
      <c r="P9" s="22"/>
      <c r="Q9" s="21"/>
    </row>
    <row r="10" spans="1:27" x14ac:dyDescent="0.2">
      <c r="A10" s="82" t="s">
        <v>19</v>
      </c>
      <c r="B10" s="104">
        <f t="shared" si="0"/>
        <v>0</v>
      </c>
      <c r="C10" s="104"/>
      <c r="D10" s="84"/>
      <c r="E10" s="84"/>
      <c r="F10" s="104">
        <f t="shared" si="1"/>
        <v>0</v>
      </c>
      <c r="G10" s="104"/>
      <c r="H10" s="84"/>
      <c r="I10" s="84"/>
      <c r="J10" s="125">
        <v>452</v>
      </c>
      <c r="K10" s="22"/>
      <c r="L10" s="22"/>
      <c r="M10" s="21"/>
      <c r="N10" s="125">
        <v>301</v>
      </c>
      <c r="O10" s="22"/>
      <c r="P10" s="22"/>
      <c r="Q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125">
        <v>452</v>
      </c>
      <c r="K11" s="22"/>
      <c r="L11" s="22"/>
      <c r="M11" s="21"/>
      <c r="N11" s="125">
        <v>301</v>
      </c>
      <c r="O11" s="22"/>
      <c r="P11" s="22"/>
      <c r="Q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125">
        <v>452</v>
      </c>
      <c r="K12" s="22"/>
      <c r="L12" s="22"/>
      <c r="M12" s="21"/>
      <c r="N12" s="125">
        <v>301</v>
      </c>
      <c r="O12" s="22"/>
      <c r="P12" s="22"/>
      <c r="Q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125">
        <v>452</v>
      </c>
      <c r="K13" s="22"/>
      <c r="L13" s="22"/>
      <c r="M13" s="21"/>
      <c r="N13" s="125">
        <v>301</v>
      </c>
      <c r="O13" s="22"/>
      <c r="P13" s="22"/>
      <c r="Q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125">
        <v>452</v>
      </c>
      <c r="K14" s="22"/>
      <c r="L14" s="22"/>
      <c r="M14" s="21"/>
      <c r="N14" s="125">
        <v>301</v>
      </c>
      <c r="O14" s="22"/>
      <c r="P14" s="22"/>
      <c r="Q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125">
        <v>451</v>
      </c>
      <c r="K15" s="22"/>
      <c r="L15" s="22"/>
      <c r="M15" s="21"/>
      <c r="N15" s="125">
        <v>303</v>
      </c>
      <c r="O15" s="22"/>
      <c r="P15" s="22"/>
      <c r="Q15" s="21"/>
    </row>
    <row r="16" spans="1:27" x14ac:dyDescent="0.2">
      <c r="A16" s="1" t="s">
        <v>6</v>
      </c>
      <c r="B16" s="22">
        <f>SUM(B4:B15)</f>
        <v>0</v>
      </c>
      <c r="C16" s="22">
        <f t="shared" ref="C16:M16" si="2">SUM(C4:C15)</f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125">
        <f t="shared" si="2"/>
        <v>5423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125">
        <f>SUM(N4:N15)</f>
        <v>1808</v>
      </c>
      <c r="O16" s="22">
        <f>SUM(O4:O15)</f>
        <v>0</v>
      </c>
      <c r="P16" s="22">
        <f>SUM(P4:P15)</f>
        <v>0</v>
      </c>
      <c r="Q16" s="22">
        <f>SUM(Q4:Q15)</f>
        <v>0</v>
      </c>
    </row>
    <row r="17" spans="1:17" x14ac:dyDescent="0.2">
      <c r="A17" s="28" t="s">
        <v>28</v>
      </c>
      <c r="B17" s="30">
        <f>B4+B5</f>
        <v>0</v>
      </c>
      <c r="C17" s="30">
        <f t="shared" ref="C17:L17" si="3">C4+C5</f>
        <v>0</v>
      </c>
      <c r="D17" s="30">
        <f t="shared" si="3"/>
        <v>0</v>
      </c>
      <c r="E17" s="30"/>
      <c r="F17" s="30">
        <f t="shared" si="3"/>
        <v>0</v>
      </c>
      <c r="G17" s="30">
        <f t="shared" si="3"/>
        <v>0</v>
      </c>
      <c r="H17" s="30">
        <f t="shared" si="3"/>
        <v>0</v>
      </c>
      <c r="I17" s="30"/>
      <c r="J17" s="30">
        <f t="shared" si="3"/>
        <v>904</v>
      </c>
      <c r="K17" s="133">
        <f t="shared" si="3"/>
        <v>0</v>
      </c>
      <c r="L17" s="133">
        <f t="shared" si="3"/>
        <v>0</v>
      </c>
      <c r="M17" s="133">
        <f>M4+M5</f>
        <v>0</v>
      </c>
      <c r="N17" s="30">
        <f>N4+N5</f>
        <v>0</v>
      </c>
      <c r="O17" s="133">
        <f>O4+O5</f>
        <v>0</v>
      </c>
      <c r="P17" s="133">
        <f>P4+P5</f>
        <v>0</v>
      </c>
      <c r="Q17" s="133">
        <f>Q4+Q5</f>
        <v>0</v>
      </c>
    </row>
    <row r="18" spans="1:17" x14ac:dyDescent="0.2">
      <c r="A18" s="28" t="s">
        <v>96</v>
      </c>
      <c r="B18" s="30">
        <f t="shared" ref="B18:B27" si="4">B17+B6</f>
        <v>0</v>
      </c>
      <c r="C18" s="30">
        <f t="shared" ref="C18:M18" si="5">C17+C6</f>
        <v>0</v>
      </c>
      <c r="D18" s="30">
        <f t="shared" si="5"/>
        <v>0</v>
      </c>
      <c r="E18" s="30"/>
      <c r="F18" s="30">
        <f t="shared" si="5"/>
        <v>0</v>
      </c>
      <c r="G18" s="30">
        <f t="shared" si="5"/>
        <v>0</v>
      </c>
      <c r="H18" s="30">
        <f t="shared" si="5"/>
        <v>0</v>
      </c>
      <c r="I18" s="30"/>
      <c r="J18" s="30">
        <f t="shared" si="5"/>
        <v>1356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ref="N18:N27" si="6">N17+N6</f>
        <v>0</v>
      </c>
      <c r="O18" s="30">
        <f t="shared" ref="O18:O27" si="7">O17+O6</f>
        <v>0</v>
      </c>
      <c r="P18" s="30">
        <f t="shared" ref="P18:P27" si="8">P17+P6</f>
        <v>0</v>
      </c>
      <c r="Q18" s="30">
        <f t="shared" ref="Q18:Q27" si="9">Q17+Q6</f>
        <v>0</v>
      </c>
    </row>
    <row r="19" spans="1:17" x14ac:dyDescent="0.2">
      <c r="A19" s="28" t="s">
        <v>29</v>
      </c>
      <c r="B19" s="30">
        <f t="shared" si="4"/>
        <v>0</v>
      </c>
      <c r="C19" s="30">
        <f t="shared" ref="C19:M19" si="10">C18+C7</f>
        <v>0</v>
      </c>
      <c r="D19" s="30">
        <f t="shared" si="10"/>
        <v>0</v>
      </c>
      <c r="E19" s="30"/>
      <c r="F19" s="30">
        <f t="shared" si="10"/>
        <v>0</v>
      </c>
      <c r="G19" s="30">
        <f t="shared" si="10"/>
        <v>0</v>
      </c>
      <c r="H19" s="30">
        <f t="shared" si="10"/>
        <v>0</v>
      </c>
      <c r="I19" s="30"/>
      <c r="J19" s="30">
        <f t="shared" si="10"/>
        <v>1808</v>
      </c>
      <c r="K19" s="30">
        <f t="shared" si="10"/>
        <v>0</v>
      </c>
      <c r="L19" s="30">
        <f t="shared" si="10"/>
        <v>0</v>
      </c>
      <c r="M19" s="30">
        <f t="shared" si="10"/>
        <v>0</v>
      </c>
      <c r="N19" s="30">
        <f t="shared" si="6"/>
        <v>0</v>
      </c>
      <c r="O19" s="30">
        <f t="shared" si="7"/>
        <v>0</v>
      </c>
      <c r="P19" s="30">
        <f t="shared" si="8"/>
        <v>0</v>
      </c>
      <c r="Q19" s="30">
        <f t="shared" si="9"/>
        <v>0</v>
      </c>
    </row>
    <row r="20" spans="1:17" x14ac:dyDescent="0.2">
      <c r="A20" s="28" t="s">
        <v>30</v>
      </c>
      <c r="B20" s="30">
        <f t="shared" si="4"/>
        <v>0</v>
      </c>
      <c r="C20" s="30">
        <f t="shared" ref="C20:M20" si="11">C19+C8</f>
        <v>0</v>
      </c>
      <c r="D20" s="30">
        <f t="shared" si="11"/>
        <v>0</v>
      </c>
      <c r="E20" s="30"/>
      <c r="F20" s="30">
        <f t="shared" si="11"/>
        <v>0</v>
      </c>
      <c r="G20" s="30">
        <f t="shared" si="11"/>
        <v>0</v>
      </c>
      <c r="H20" s="30">
        <f t="shared" si="11"/>
        <v>0</v>
      </c>
      <c r="I20" s="30"/>
      <c r="J20" s="30">
        <f t="shared" si="11"/>
        <v>2260</v>
      </c>
      <c r="K20" s="30">
        <f t="shared" si="11"/>
        <v>0</v>
      </c>
      <c r="L20" s="30">
        <f t="shared" si="11"/>
        <v>0</v>
      </c>
      <c r="M20" s="30">
        <f t="shared" si="11"/>
        <v>0</v>
      </c>
      <c r="N20" s="30">
        <f t="shared" si="6"/>
        <v>0</v>
      </c>
      <c r="O20" s="30">
        <f t="shared" si="7"/>
        <v>0</v>
      </c>
      <c r="P20" s="30">
        <f t="shared" si="8"/>
        <v>0</v>
      </c>
      <c r="Q20" s="30">
        <f t="shared" si="9"/>
        <v>0</v>
      </c>
    </row>
    <row r="21" spans="1:17" x14ac:dyDescent="0.2">
      <c r="A21" s="28" t="s">
        <v>31</v>
      </c>
      <c r="B21" s="30">
        <f t="shared" si="4"/>
        <v>0</v>
      </c>
      <c r="C21" s="30">
        <f t="shared" ref="C21:M21" si="12">C20+C9</f>
        <v>0</v>
      </c>
      <c r="D21" s="30">
        <f t="shared" si="12"/>
        <v>0</v>
      </c>
      <c r="E21" s="30"/>
      <c r="F21" s="30">
        <f t="shared" si="12"/>
        <v>0</v>
      </c>
      <c r="G21" s="30">
        <f t="shared" si="12"/>
        <v>0</v>
      </c>
      <c r="H21" s="30">
        <f t="shared" si="12"/>
        <v>0</v>
      </c>
      <c r="I21" s="30"/>
      <c r="J21" s="30">
        <f t="shared" si="12"/>
        <v>2712</v>
      </c>
      <c r="K21" s="30">
        <f t="shared" si="12"/>
        <v>0</v>
      </c>
      <c r="L21" s="30">
        <f t="shared" si="12"/>
        <v>0</v>
      </c>
      <c r="M21" s="30">
        <f t="shared" si="12"/>
        <v>0</v>
      </c>
      <c r="N21" s="30">
        <f t="shared" si="6"/>
        <v>0</v>
      </c>
      <c r="O21" s="30">
        <f t="shared" si="7"/>
        <v>0</v>
      </c>
      <c r="P21" s="30">
        <f t="shared" si="8"/>
        <v>0</v>
      </c>
      <c r="Q21" s="30">
        <f t="shared" si="9"/>
        <v>0</v>
      </c>
    </row>
    <row r="22" spans="1:17" x14ac:dyDescent="0.2">
      <c r="A22" s="28" t="s">
        <v>32</v>
      </c>
      <c r="B22" s="30">
        <f t="shared" si="4"/>
        <v>0</v>
      </c>
      <c r="C22" s="30">
        <f t="shared" ref="C22:M22" si="13">C21+C10</f>
        <v>0</v>
      </c>
      <c r="D22" s="30">
        <f t="shared" si="13"/>
        <v>0</v>
      </c>
      <c r="E22" s="30"/>
      <c r="F22" s="30">
        <f t="shared" si="13"/>
        <v>0</v>
      </c>
      <c r="G22" s="30">
        <f t="shared" si="13"/>
        <v>0</v>
      </c>
      <c r="H22" s="30">
        <f t="shared" si="13"/>
        <v>0</v>
      </c>
      <c r="I22" s="30"/>
      <c r="J22" s="30">
        <f t="shared" si="13"/>
        <v>3164</v>
      </c>
      <c r="K22" s="30">
        <f t="shared" si="13"/>
        <v>0</v>
      </c>
      <c r="L22" s="30">
        <f t="shared" si="13"/>
        <v>0</v>
      </c>
      <c r="M22" s="30">
        <f t="shared" si="13"/>
        <v>0</v>
      </c>
      <c r="N22" s="30">
        <f t="shared" si="6"/>
        <v>301</v>
      </c>
      <c r="O22" s="30">
        <f t="shared" si="7"/>
        <v>0</v>
      </c>
      <c r="P22" s="30">
        <f t="shared" si="8"/>
        <v>0</v>
      </c>
      <c r="Q22" s="30">
        <f t="shared" si="9"/>
        <v>0</v>
      </c>
    </row>
    <row r="23" spans="1:17" x14ac:dyDescent="0.2">
      <c r="A23" s="28" t="s">
        <v>33</v>
      </c>
      <c r="B23" s="30">
        <f t="shared" si="4"/>
        <v>0</v>
      </c>
      <c r="C23" s="30">
        <f t="shared" ref="C23:M23" si="14">C22+C11</f>
        <v>0</v>
      </c>
      <c r="D23" s="30">
        <f t="shared" si="14"/>
        <v>0</v>
      </c>
      <c r="E23" s="30"/>
      <c r="F23" s="30">
        <f t="shared" si="14"/>
        <v>0</v>
      </c>
      <c r="G23" s="30">
        <f t="shared" si="14"/>
        <v>0</v>
      </c>
      <c r="H23" s="30">
        <f t="shared" si="14"/>
        <v>0</v>
      </c>
      <c r="I23" s="30"/>
      <c r="J23" s="30">
        <f t="shared" si="14"/>
        <v>3616</v>
      </c>
      <c r="K23" s="30">
        <f t="shared" si="14"/>
        <v>0</v>
      </c>
      <c r="L23" s="30">
        <f t="shared" si="14"/>
        <v>0</v>
      </c>
      <c r="M23" s="30">
        <f t="shared" si="14"/>
        <v>0</v>
      </c>
      <c r="N23" s="30">
        <f t="shared" si="6"/>
        <v>602</v>
      </c>
      <c r="O23" s="30">
        <f t="shared" si="7"/>
        <v>0</v>
      </c>
      <c r="P23" s="30">
        <f t="shared" si="8"/>
        <v>0</v>
      </c>
      <c r="Q23" s="30">
        <f t="shared" si="9"/>
        <v>0</v>
      </c>
    </row>
    <row r="24" spans="1:17" x14ac:dyDescent="0.2">
      <c r="A24" s="28" t="s">
        <v>34</v>
      </c>
      <c r="B24" s="30">
        <f t="shared" si="4"/>
        <v>0</v>
      </c>
      <c r="C24" s="30">
        <f t="shared" ref="C24:M24" si="15">C23+C12</f>
        <v>0</v>
      </c>
      <c r="D24" s="30">
        <f t="shared" si="15"/>
        <v>0</v>
      </c>
      <c r="E24" s="30"/>
      <c r="F24" s="30">
        <f t="shared" si="15"/>
        <v>0</v>
      </c>
      <c r="G24" s="30">
        <f t="shared" si="15"/>
        <v>0</v>
      </c>
      <c r="H24" s="30">
        <f t="shared" si="15"/>
        <v>0</v>
      </c>
      <c r="I24" s="30"/>
      <c r="J24" s="30">
        <f t="shared" si="15"/>
        <v>4068</v>
      </c>
      <c r="K24" s="30">
        <f t="shared" si="15"/>
        <v>0</v>
      </c>
      <c r="L24" s="30">
        <f t="shared" si="15"/>
        <v>0</v>
      </c>
      <c r="M24" s="30">
        <f t="shared" si="15"/>
        <v>0</v>
      </c>
      <c r="N24" s="30">
        <f t="shared" si="6"/>
        <v>903</v>
      </c>
      <c r="O24" s="30">
        <f t="shared" si="7"/>
        <v>0</v>
      </c>
      <c r="P24" s="30">
        <f t="shared" si="8"/>
        <v>0</v>
      </c>
      <c r="Q24" s="30">
        <f t="shared" si="9"/>
        <v>0</v>
      </c>
    </row>
    <row r="25" spans="1:17" x14ac:dyDescent="0.2">
      <c r="A25" s="29" t="s">
        <v>35</v>
      </c>
      <c r="B25" s="31">
        <f t="shared" si="4"/>
        <v>0</v>
      </c>
      <c r="C25" s="31">
        <f t="shared" ref="C25:M25" si="16">C24+C13</f>
        <v>0</v>
      </c>
      <c r="D25" s="31">
        <f t="shared" si="16"/>
        <v>0</v>
      </c>
      <c r="E25" s="31"/>
      <c r="F25" s="31">
        <f t="shared" si="16"/>
        <v>0</v>
      </c>
      <c r="G25" s="31">
        <f t="shared" si="16"/>
        <v>0</v>
      </c>
      <c r="H25" s="31">
        <f t="shared" si="16"/>
        <v>0</v>
      </c>
      <c r="I25" s="31"/>
      <c r="J25" s="31">
        <f t="shared" si="16"/>
        <v>4520</v>
      </c>
      <c r="K25" s="31">
        <f t="shared" si="16"/>
        <v>0</v>
      </c>
      <c r="L25" s="31">
        <f t="shared" si="16"/>
        <v>0</v>
      </c>
      <c r="M25" s="31">
        <f t="shared" si="16"/>
        <v>0</v>
      </c>
      <c r="N25" s="31">
        <f t="shared" si="6"/>
        <v>1204</v>
      </c>
      <c r="O25" s="31">
        <f t="shared" si="7"/>
        <v>0</v>
      </c>
      <c r="P25" s="31">
        <f t="shared" si="8"/>
        <v>0</v>
      </c>
      <c r="Q25" s="31">
        <f t="shared" si="9"/>
        <v>0</v>
      </c>
    </row>
    <row r="26" spans="1:17" x14ac:dyDescent="0.2">
      <c r="A26" s="29" t="s">
        <v>36</v>
      </c>
      <c r="B26" s="31">
        <f t="shared" si="4"/>
        <v>0</v>
      </c>
      <c r="C26" s="31">
        <f t="shared" ref="C26:M26" si="17">C25+C14</f>
        <v>0</v>
      </c>
      <c r="D26" s="31">
        <f t="shared" si="17"/>
        <v>0</v>
      </c>
      <c r="E26" s="31"/>
      <c r="F26" s="31">
        <f t="shared" si="17"/>
        <v>0</v>
      </c>
      <c r="G26" s="31">
        <f t="shared" si="17"/>
        <v>0</v>
      </c>
      <c r="H26" s="31">
        <f t="shared" si="17"/>
        <v>0</v>
      </c>
      <c r="I26" s="31"/>
      <c r="J26" s="31">
        <f t="shared" si="17"/>
        <v>4972</v>
      </c>
      <c r="K26" s="31">
        <f t="shared" si="17"/>
        <v>0</v>
      </c>
      <c r="L26" s="31">
        <f t="shared" si="17"/>
        <v>0</v>
      </c>
      <c r="M26" s="31">
        <f t="shared" si="17"/>
        <v>0</v>
      </c>
      <c r="N26" s="31">
        <f t="shared" si="6"/>
        <v>1505</v>
      </c>
      <c r="O26" s="31">
        <f t="shared" si="7"/>
        <v>0</v>
      </c>
      <c r="P26" s="31">
        <f t="shared" si="8"/>
        <v>0</v>
      </c>
      <c r="Q26" s="31">
        <f t="shared" si="9"/>
        <v>0</v>
      </c>
    </row>
    <row r="27" spans="1:17" x14ac:dyDescent="0.2">
      <c r="A27" s="12" t="s">
        <v>15</v>
      </c>
      <c r="B27" s="32">
        <f t="shared" si="4"/>
        <v>0</v>
      </c>
      <c r="C27" s="32">
        <f t="shared" ref="C27:M27" si="18">C26+C15</f>
        <v>0</v>
      </c>
      <c r="D27" s="32">
        <f t="shared" si="18"/>
        <v>0</v>
      </c>
      <c r="E27" s="32"/>
      <c r="F27" s="32">
        <f t="shared" si="18"/>
        <v>0</v>
      </c>
      <c r="G27" s="32">
        <f t="shared" si="18"/>
        <v>0</v>
      </c>
      <c r="H27" s="32">
        <f t="shared" si="18"/>
        <v>0</v>
      </c>
      <c r="I27" s="32"/>
      <c r="J27" s="32">
        <f t="shared" si="18"/>
        <v>5423</v>
      </c>
      <c r="K27" s="32">
        <f t="shared" si="18"/>
        <v>0</v>
      </c>
      <c r="L27" s="32">
        <f t="shared" si="18"/>
        <v>0</v>
      </c>
      <c r="M27" s="32">
        <f t="shared" si="18"/>
        <v>0</v>
      </c>
      <c r="N27" s="32">
        <f t="shared" si="6"/>
        <v>1808</v>
      </c>
      <c r="O27" s="32">
        <f t="shared" si="7"/>
        <v>0</v>
      </c>
      <c r="P27" s="32">
        <f t="shared" si="8"/>
        <v>0</v>
      </c>
      <c r="Q27" s="32">
        <f t="shared" si="9"/>
        <v>0</v>
      </c>
    </row>
    <row r="28" spans="1:17" x14ac:dyDescent="0.2">
      <c r="C28" s="16"/>
      <c r="D28" s="16"/>
      <c r="E28" s="16"/>
      <c r="G28" s="16"/>
      <c r="H28" s="16"/>
      <c r="I28" s="16"/>
      <c r="L28" s="16"/>
    </row>
    <row r="29" spans="1:17" x14ac:dyDescent="0.2">
      <c r="C29" s="16"/>
      <c r="D29" s="16"/>
      <c r="E29" s="16"/>
      <c r="L29" s="16"/>
    </row>
    <row r="30" spans="1:17" x14ac:dyDescent="0.2">
      <c r="C30" s="16"/>
      <c r="D30" s="16"/>
      <c r="E30" s="16"/>
      <c r="L30" s="16"/>
    </row>
    <row r="31" spans="1:17" x14ac:dyDescent="0.2">
      <c r="C31" s="16"/>
      <c r="D31" s="16"/>
      <c r="E31" s="16"/>
      <c r="L31" s="16"/>
    </row>
    <row r="32" spans="1:17" x14ac:dyDescent="0.2">
      <c r="C32" s="16"/>
      <c r="D32" s="16"/>
      <c r="E32" s="16"/>
      <c r="L32" s="16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</sheetData>
  <mergeCells count="6">
    <mergeCell ref="B1:D1"/>
    <mergeCell ref="F1:H1"/>
    <mergeCell ref="O2:Q2"/>
    <mergeCell ref="K2:M2"/>
    <mergeCell ref="C2:D2"/>
    <mergeCell ref="G2:H2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workbookViewId="0">
      <pane xSplit="1" ySplit="2" topLeftCell="L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3" width="10.42578125" customWidth="1"/>
    <col min="4" max="5" width="11.28515625" customWidth="1"/>
    <col min="7" max="7" width="11" bestFit="1" customWidth="1"/>
    <col min="8" max="8" width="9.5703125" bestFit="1" customWidth="1"/>
    <col min="9" max="9" width="9.5703125" customWidth="1"/>
    <col min="12" max="12" width="10.85546875" customWidth="1"/>
  </cols>
  <sheetData>
    <row r="1" spans="1:25" x14ac:dyDescent="0.2">
      <c r="A1" s="2"/>
      <c r="B1" s="357" t="s">
        <v>0</v>
      </c>
      <c r="C1" s="358"/>
      <c r="D1" s="357"/>
      <c r="E1" s="114"/>
      <c r="F1" s="359" t="s">
        <v>1</v>
      </c>
      <c r="G1" s="358"/>
      <c r="H1" s="358"/>
      <c r="I1" s="20"/>
      <c r="J1" s="19"/>
      <c r="K1" s="24" t="s">
        <v>2</v>
      </c>
      <c r="L1" s="25"/>
      <c r="N1" s="19"/>
      <c r="O1" s="24" t="s">
        <v>192</v>
      </c>
      <c r="P1" s="25"/>
      <c r="R1" s="19"/>
      <c r="S1" s="25" t="s">
        <v>193</v>
      </c>
      <c r="T1" s="25"/>
      <c r="W1" t="s">
        <v>188</v>
      </c>
    </row>
    <row r="2" spans="1:25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60" t="s">
        <v>25</v>
      </c>
      <c r="H2" s="357"/>
      <c r="I2" s="361"/>
      <c r="J2" s="5" t="s">
        <v>6</v>
      </c>
      <c r="K2" s="360" t="s">
        <v>25</v>
      </c>
      <c r="L2" s="357"/>
      <c r="M2" s="361"/>
      <c r="N2" s="5" t="s">
        <v>6</v>
      </c>
      <c r="O2" s="360" t="s">
        <v>25</v>
      </c>
      <c r="P2" s="357"/>
      <c r="Q2" s="361"/>
      <c r="R2" s="5" t="s">
        <v>6</v>
      </c>
      <c r="S2" s="360" t="s">
        <v>25</v>
      </c>
      <c r="T2" s="357"/>
      <c r="U2" s="361"/>
      <c r="V2" s="5" t="s">
        <v>6</v>
      </c>
      <c r="W2" s="360" t="s">
        <v>25</v>
      </c>
      <c r="X2" s="357"/>
      <c r="Y2" s="361"/>
    </row>
    <row r="3" spans="1:25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7"/>
      <c r="O3" s="17" t="s">
        <v>27</v>
      </c>
      <c r="P3" s="15" t="s">
        <v>26</v>
      </c>
      <c r="Q3" s="115" t="s">
        <v>105</v>
      </c>
      <c r="R3" s="7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</row>
    <row r="4" spans="1:25" x14ac:dyDescent="0.2">
      <c r="A4" s="1" t="s">
        <v>4</v>
      </c>
      <c r="B4" s="22">
        <v>329</v>
      </c>
      <c r="C4" s="22"/>
      <c r="D4" s="22"/>
      <c r="E4" s="22"/>
      <c r="F4" s="22">
        <v>334</v>
      </c>
      <c r="G4" s="22"/>
      <c r="H4" s="22"/>
      <c r="I4" s="22"/>
      <c r="J4" s="22">
        <v>897</v>
      </c>
      <c r="K4" s="22"/>
      <c r="L4" s="22"/>
      <c r="M4" s="21"/>
      <c r="N4" s="22">
        <v>1077</v>
      </c>
      <c r="O4" s="22"/>
      <c r="P4" s="22"/>
      <c r="Q4" s="21"/>
      <c r="R4" s="22">
        <v>201</v>
      </c>
      <c r="S4" s="22"/>
      <c r="T4" s="22"/>
      <c r="U4" s="21"/>
      <c r="V4" s="22">
        <v>180</v>
      </c>
      <c r="W4" s="22"/>
      <c r="X4" s="22"/>
      <c r="Y4" s="21"/>
    </row>
    <row r="5" spans="1:25" x14ac:dyDescent="0.2">
      <c r="A5" s="1" t="s">
        <v>7</v>
      </c>
      <c r="B5" s="22">
        <v>329</v>
      </c>
      <c r="C5" s="22"/>
      <c r="D5" s="22"/>
      <c r="E5" s="22"/>
      <c r="F5" s="22">
        <v>334</v>
      </c>
      <c r="G5" s="22"/>
      <c r="H5" s="22"/>
      <c r="I5" s="22"/>
      <c r="J5" s="22">
        <v>899</v>
      </c>
      <c r="K5" s="22"/>
      <c r="L5" s="22"/>
      <c r="M5" s="21"/>
      <c r="N5" s="22">
        <v>1084</v>
      </c>
      <c r="O5" s="22"/>
      <c r="P5" s="22"/>
      <c r="Q5" s="21"/>
      <c r="R5" s="22">
        <v>199</v>
      </c>
      <c r="S5" s="22"/>
      <c r="T5" s="22"/>
      <c r="U5" s="21"/>
      <c r="V5" s="22">
        <v>180</v>
      </c>
      <c r="W5" s="22"/>
      <c r="X5" s="22"/>
      <c r="Y5" s="21"/>
    </row>
    <row r="6" spans="1:25" x14ac:dyDescent="0.2">
      <c r="A6" s="1" t="s">
        <v>8</v>
      </c>
      <c r="B6" s="22">
        <v>329</v>
      </c>
      <c r="C6" s="22"/>
      <c r="D6" s="22"/>
      <c r="E6" s="22"/>
      <c r="F6" s="22">
        <v>333</v>
      </c>
      <c r="G6" s="22"/>
      <c r="H6" s="22"/>
      <c r="I6" s="22"/>
      <c r="J6" s="22">
        <v>899</v>
      </c>
      <c r="K6" s="22"/>
      <c r="L6" s="22"/>
      <c r="M6" s="21"/>
      <c r="N6" s="22">
        <v>1084</v>
      </c>
      <c r="O6" s="22"/>
      <c r="P6" s="22"/>
      <c r="Q6" s="21"/>
      <c r="R6" s="22">
        <v>199</v>
      </c>
      <c r="S6" s="22"/>
      <c r="T6" s="22"/>
      <c r="U6" s="21"/>
      <c r="V6" s="22">
        <v>183</v>
      </c>
      <c r="W6" s="22"/>
      <c r="X6" s="22"/>
      <c r="Y6" s="21"/>
    </row>
    <row r="7" spans="1:25" x14ac:dyDescent="0.2">
      <c r="A7" s="1" t="s">
        <v>16</v>
      </c>
      <c r="B7" s="22">
        <v>343</v>
      </c>
      <c r="C7" s="22"/>
      <c r="D7" s="22"/>
      <c r="E7" s="22"/>
      <c r="F7" s="22">
        <v>583</v>
      </c>
      <c r="G7" s="22"/>
      <c r="H7" s="22"/>
      <c r="I7" s="22"/>
      <c r="J7" s="22">
        <v>899</v>
      </c>
      <c r="K7" s="22"/>
      <c r="L7" s="22"/>
      <c r="M7" s="21"/>
      <c r="N7" s="22">
        <v>1084</v>
      </c>
      <c r="O7" s="22"/>
      <c r="P7" s="22"/>
      <c r="Q7" s="21"/>
      <c r="R7" s="22">
        <v>199</v>
      </c>
      <c r="S7" s="22"/>
      <c r="T7" s="22"/>
      <c r="U7" s="21"/>
      <c r="V7" s="22">
        <v>183</v>
      </c>
      <c r="W7" s="22"/>
      <c r="X7" s="22"/>
      <c r="Y7" s="21"/>
    </row>
    <row r="8" spans="1:25" x14ac:dyDescent="0.2">
      <c r="A8" s="1" t="s">
        <v>17</v>
      </c>
      <c r="B8" s="22">
        <v>343</v>
      </c>
      <c r="C8" s="22"/>
      <c r="D8" s="22"/>
      <c r="E8" s="22"/>
      <c r="F8" s="22">
        <v>583</v>
      </c>
      <c r="G8" s="22"/>
      <c r="H8" s="22"/>
      <c r="I8" s="22"/>
      <c r="J8" s="22">
        <v>899</v>
      </c>
      <c r="K8" s="22"/>
      <c r="L8" s="22"/>
      <c r="M8" s="21"/>
      <c r="N8" s="22">
        <v>1084</v>
      </c>
      <c r="O8" s="22"/>
      <c r="P8" s="22"/>
      <c r="Q8" s="21"/>
      <c r="R8" s="22">
        <v>199</v>
      </c>
      <c r="S8" s="22"/>
      <c r="T8" s="22"/>
      <c r="U8" s="21"/>
      <c r="V8" s="22">
        <v>183</v>
      </c>
      <c r="W8" s="22"/>
      <c r="X8" s="22"/>
      <c r="Y8" s="21"/>
    </row>
    <row r="9" spans="1:25" x14ac:dyDescent="0.2">
      <c r="A9" s="1" t="s">
        <v>18</v>
      </c>
      <c r="B9" s="22">
        <v>343</v>
      </c>
      <c r="C9" s="22"/>
      <c r="D9" s="22"/>
      <c r="E9" s="22"/>
      <c r="F9" s="22">
        <v>583</v>
      </c>
      <c r="G9" s="22"/>
      <c r="H9" s="22"/>
      <c r="I9" s="22"/>
      <c r="J9" s="22">
        <v>899</v>
      </c>
      <c r="K9" s="22"/>
      <c r="L9" s="22"/>
      <c r="M9" s="21"/>
      <c r="N9" s="22">
        <v>1084</v>
      </c>
      <c r="O9" s="22"/>
      <c r="P9" s="22"/>
      <c r="Q9" s="21"/>
      <c r="R9" s="22">
        <v>199</v>
      </c>
      <c r="S9" s="22"/>
      <c r="T9" s="22"/>
      <c r="U9" s="21"/>
      <c r="V9" s="22">
        <v>186</v>
      </c>
      <c r="W9" s="22"/>
      <c r="X9" s="22"/>
      <c r="Y9" s="21"/>
    </row>
    <row r="10" spans="1:25" x14ac:dyDescent="0.2">
      <c r="A10" s="1" t="s">
        <v>19</v>
      </c>
      <c r="B10" s="22">
        <v>188</v>
      </c>
      <c r="C10" s="22"/>
      <c r="D10" s="22"/>
      <c r="E10" s="22"/>
      <c r="F10" s="22">
        <v>233</v>
      </c>
      <c r="G10" s="22"/>
      <c r="H10" s="22"/>
      <c r="I10" s="22"/>
      <c r="J10" s="22">
        <v>718</v>
      </c>
      <c r="K10" s="22"/>
      <c r="L10" s="22"/>
      <c r="M10" s="21"/>
      <c r="N10" s="22">
        <v>867</v>
      </c>
      <c r="O10" s="22"/>
      <c r="P10" s="22"/>
      <c r="Q10" s="21"/>
      <c r="R10" s="22">
        <v>159</v>
      </c>
      <c r="S10" s="22"/>
      <c r="T10" s="22"/>
      <c r="U10" s="21"/>
      <c r="V10" s="22">
        <v>146</v>
      </c>
      <c r="W10" s="22"/>
      <c r="X10" s="22"/>
      <c r="Y10" s="21"/>
    </row>
    <row r="11" spans="1:25" x14ac:dyDescent="0.2">
      <c r="A11" s="1" t="s">
        <v>10</v>
      </c>
      <c r="B11" s="22">
        <v>199</v>
      </c>
      <c r="C11" s="22"/>
      <c r="D11" s="22"/>
      <c r="E11" s="22"/>
      <c r="F11" s="22">
        <v>233</v>
      </c>
      <c r="G11" s="22"/>
      <c r="H11" s="22"/>
      <c r="I11" s="22"/>
      <c r="J11" s="22">
        <v>718</v>
      </c>
      <c r="K11" s="22"/>
      <c r="L11" s="22"/>
      <c r="M11" s="21"/>
      <c r="N11" s="22">
        <v>867</v>
      </c>
      <c r="O11" s="22"/>
      <c r="P11" s="22"/>
      <c r="Q11" s="21"/>
      <c r="R11" s="22">
        <v>159</v>
      </c>
      <c r="S11" s="22"/>
      <c r="T11" s="22"/>
      <c r="U11" s="21"/>
      <c r="V11" s="22">
        <v>146</v>
      </c>
      <c r="W11" s="22"/>
      <c r="X11" s="22"/>
      <c r="Y11" s="21"/>
    </row>
    <row r="12" spans="1:25" x14ac:dyDescent="0.2">
      <c r="A12" s="1" t="s">
        <v>11</v>
      </c>
      <c r="B12" s="22">
        <v>297</v>
      </c>
      <c r="C12" s="22"/>
      <c r="D12" s="22"/>
      <c r="E12" s="22"/>
      <c r="F12" s="22">
        <v>325</v>
      </c>
      <c r="G12" s="22"/>
      <c r="H12" s="22"/>
      <c r="I12" s="22"/>
      <c r="J12" s="22">
        <v>4146</v>
      </c>
      <c r="K12" s="22"/>
      <c r="L12" s="22"/>
      <c r="M12" s="21"/>
      <c r="N12" s="22">
        <v>987</v>
      </c>
      <c r="O12" s="22"/>
      <c r="P12" s="22"/>
      <c r="Q12" s="21"/>
      <c r="R12" s="22">
        <v>53</v>
      </c>
      <c r="S12" s="22"/>
      <c r="T12" s="22"/>
      <c r="U12" s="21"/>
      <c r="V12" s="22">
        <v>146</v>
      </c>
      <c r="W12" s="22"/>
      <c r="X12" s="22"/>
      <c r="Y12" s="21"/>
    </row>
    <row r="13" spans="1:25" x14ac:dyDescent="0.2">
      <c r="A13" s="1" t="s">
        <v>12</v>
      </c>
      <c r="B13" s="22">
        <v>369</v>
      </c>
      <c r="C13" s="22"/>
      <c r="D13" s="22"/>
      <c r="E13" s="22"/>
      <c r="F13" s="22">
        <v>384</v>
      </c>
      <c r="G13" s="22"/>
      <c r="H13" s="22"/>
      <c r="I13" s="22"/>
      <c r="J13" s="22">
        <v>4510</v>
      </c>
      <c r="K13" s="22"/>
      <c r="L13" s="22"/>
      <c r="M13" s="21"/>
      <c r="N13" s="22">
        <v>1313</v>
      </c>
      <c r="O13" s="22"/>
      <c r="P13" s="22"/>
      <c r="Q13" s="21"/>
      <c r="R13" s="22">
        <v>133</v>
      </c>
      <c r="S13" s="22"/>
      <c r="T13" s="22"/>
      <c r="U13" s="21"/>
      <c r="V13" s="22">
        <v>219</v>
      </c>
      <c r="W13" s="22"/>
      <c r="X13" s="22"/>
      <c r="Y13" s="21"/>
    </row>
    <row r="14" spans="1:25" x14ac:dyDescent="0.2">
      <c r="A14" s="1" t="s">
        <v>13</v>
      </c>
      <c r="B14" s="22">
        <v>369</v>
      </c>
      <c r="C14" s="22"/>
      <c r="D14" s="22"/>
      <c r="E14" s="22"/>
      <c r="F14" s="22">
        <v>387</v>
      </c>
      <c r="G14" s="22"/>
      <c r="H14" s="22"/>
      <c r="I14" s="22"/>
      <c r="J14" s="22">
        <v>4510</v>
      </c>
      <c r="K14" s="22"/>
      <c r="L14" s="22"/>
      <c r="M14" s="21"/>
      <c r="N14" s="22">
        <v>1313</v>
      </c>
      <c r="O14" s="22"/>
      <c r="P14" s="22"/>
      <c r="Q14" s="21"/>
      <c r="R14" s="22">
        <v>133</v>
      </c>
      <c r="S14" s="22"/>
      <c r="T14" s="22"/>
      <c r="U14" s="21"/>
      <c r="V14" s="22">
        <v>219</v>
      </c>
      <c r="W14" s="22"/>
      <c r="X14" s="22"/>
      <c r="Y14" s="21"/>
    </row>
    <row r="15" spans="1:25" x14ac:dyDescent="0.2">
      <c r="A15" s="1" t="s">
        <v>14</v>
      </c>
      <c r="B15" s="22">
        <v>369</v>
      </c>
      <c r="C15" s="22"/>
      <c r="D15" s="22"/>
      <c r="E15" s="22"/>
      <c r="F15" s="22">
        <v>388</v>
      </c>
      <c r="G15" s="22"/>
      <c r="H15" s="22"/>
      <c r="I15" s="104"/>
      <c r="J15" s="22">
        <v>4510</v>
      </c>
      <c r="K15" s="22"/>
      <c r="L15" s="22"/>
      <c r="M15" s="21"/>
      <c r="N15" s="22">
        <v>1313</v>
      </c>
      <c r="O15" s="22"/>
      <c r="P15" s="22"/>
      <c r="Q15" s="21"/>
      <c r="R15" s="22">
        <v>133</v>
      </c>
      <c r="S15" s="22"/>
      <c r="T15" s="22"/>
      <c r="U15" s="21"/>
      <c r="V15" s="22">
        <v>219</v>
      </c>
      <c r="W15" s="22"/>
      <c r="X15" s="22"/>
      <c r="Y15" s="21"/>
    </row>
    <row r="16" spans="1:25" x14ac:dyDescent="0.2">
      <c r="A16" s="18" t="s">
        <v>6</v>
      </c>
      <c r="B16" s="204">
        <f>SUM(B4:B15)</f>
        <v>3807</v>
      </c>
      <c r="C16" s="23">
        <f t="shared" ref="C16:M16" si="0">SUM(C4:C15)</f>
        <v>0</v>
      </c>
      <c r="D16" s="23">
        <f t="shared" si="0"/>
        <v>0</v>
      </c>
      <c r="E16" s="23">
        <f t="shared" si="0"/>
        <v>0</v>
      </c>
      <c r="F16" s="23">
        <f t="shared" si="0"/>
        <v>4700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24504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>
        <f t="shared" ref="N16:V16" si="1">SUM(N4:N15)</f>
        <v>13157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1966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2190</v>
      </c>
      <c r="W16" s="23">
        <f>SUM(W4:W15)</f>
        <v>0</v>
      </c>
      <c r="X16" s="23">
        <f>SUM(X4:X15)</f>
        <v>0</v>
      </c>
      <c r="Y16" s="23">
        <f>SUM(Y4:Y15)</f>
        <v>0</v>
      </c>
    </row>
    <row r="17" spans="1:25" x14ac:dyDescent="0.2">
      <c r="A17" s="28" t="s">
        <v>28</v>
      </c>
      <c r="B17" s="30">
        <f>B4+B5</f>
        <v>658</v>
      </c>
      <c r="C17" s="30">
        <f t="shared" ref="C17:L17" si="2">C4+C5</f>
        <v>0</v>
      </c>
      <c r="D17" s="30">
        <f t="shared" si="2"/>
        <v>0</v>
      </c>
      <c r="E17" s="30">
        <f>E4+E5</f>
        <v>0</v>
      </c>
      <c r="F17" s="30">
        <f t="shared" si="2"/>
        <v>668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1796</v>
      </c>
      <c r="K17" s="30">
        <f t="shared" si="2"/>
        <v>0</v>
      </c>
      <c r="L17" s="30">
        <f t="shared" si="2"/>
        <v>0</v>
      </c>
      <c r="M17" s="30">
        <f t="shared" ref="M17:U17" si="3">M4+M5</f>
        <v>0</v>
      </c>
      <c r="N17" s="30">
        <f t="shared" si="3"/>
        <v>2161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400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>V4+V5</f>
        <v>360</v>
      </c>
      <c r="W17" s="30">
        <f>W4+W5</f>
        <v>0</v>
      </c>
      <c r="X17" s="30">
        <f>X4+X5</f>
        <v>0</v>
      </c>
      <c r="Y17" s="30">
        <f>Y4+Y5</f>
        <v>0</v>
      </c>
    </row>
    <row r="18" spans="1:25" x14ac:dyDescent="0.2">
      <c r="A18" s="28" t="s">
        <v>9</v>
      </c>
      <c r="B18" s="30">
        <f t="shared" ref="B18:B27" si="4">B17+B6</f>
        <v>987</v>
      </c>
      <c r="C18" s="30">
        <f t="shared" ref="C18:M18" si="5">C17+C6</f>
        <v>0</v>
      </c>
      <c r="D18" s="30">
        <f t="shared" si="5"/>
        <v>0</v>
      </c>
      <c r="E18" s="30">
        <f t="shared" si="5"/>
        <v>0</v>
      </c>
      <c r="F18" s="30">
        <f t="shared" si="5"/>
        <v>1001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2695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ref="N18:N27" si="6">N17+N6</f>
        <v>3245</v>
      </c>
      <c r="O18" s="30">
        <f t="shared" ref="O18:O27" si="7">O17+O6</f>
        <v>0</v>
      </c>
      <c r="P18" s="30">
        <f t="shared" ref="P18:P27" si="8">P17+P6</f>
        <v>0</v>
      </c>
      <c r="Q18" s="30">
        <f t="shared" ref="Q18:Q27" si="9">Q17+Q6</f>
        <v>0</v>
      </c>
      <c r="R18" s="30">
        <f t="shared" ref="R18:R27" si="10">R17+R6</f>
        <v>599</v>
      </c>
      <c r="S18" s="30">
        <f t="shared" ref="S18:S27" si="11">S17+S6</f>
        <v>0</v>
      </c>
      <c r="T18" s="30">
        <f t="shared" ref="T18:T27" si="12">T17+T6</f>
        <v>0</v>
      </c>
      <c r="U18" s="30">
        <f t="shared" ref="U18:V27" si="13">U17+U6</f>
        <v>0</v>
      </c>
      <c r="V18" s="30">
        <f t="shared" si="13"/>
        <v>543</v>
      </c>
      <c r="W18" s="30">
        <f t="shared" ref="W18:W27" si="14">W17+W6</f>
        <v>0</v>
      </c>
      <c r="X18" s="30">
        <f t="shared" ref="X18:X27" si="15">X17+X6</f>
        <v>0</v>
      </c>
      <c r="Y18" s="30">
        <f t="shared" ref="Y18:Y27" si="16">Y17+Y6</f>
        <v>0</v>
      </c>
    </row>
    <row r="19" spans="1:25" x14ac:dyDescent="0.2">
      <c r="A19" s="28" t="s">
        <v>29</v>
      </c>
      <c r="B19" s="30">
        <f t="shared" si="4"/>
        <v>1330</v>
      </c>
      <c r="C19" s="30">
        <f t="shared" ref="C19:M19" si="17">C18+C7</f>
        <v>0</v>
      </c>
      <c r="D19" s="30">
        <f t="shared" si="17"/>
        <v>0</v>
      </c>
      <c r="E19" s="30">
        <f t="shared" si="17"/>
        <v>0</v>
      </c>
      <c r="F19" s="30">
        <f t="shared" si="17"/>
        <v>1584</v>
      </c>
      <c r="G19" s="30">
        <f t="shared" si="17"/>
        <v>0</v>
      </c>
      <c r="H19" s="30">
        <f t="shared" si="17"/>
        <v>0</v>
      </c>
      <c r="I19" s="30">
        <f t="shared" si="17"/>
        <v>0</v>
      </c>
      <c r="J19" s="30">
        <f t="shared" si="17"/>
        <v>3594</v>
      </c>
      <c r="K19" s="30">
        <f t="shared" si="17"/>
        <v>0</v>
      </c>
      <c r="L19" s="30">
        <f t="shared" si="17"/>
        <v>0</v>
      </c>
      <c r="M19" s="30">
        <f t="shared" si="17"/>
        <v>0</v>
      </c>
      <c r="N19" s="30">
        <f t="shared" si="6"/>
        <v>4329</v>
      </c>
      <c r="O19" s="30">
        <f t="shared" si="7"/>
        <v>0</v>
      </c>
      <c r="P19" s="30">
        <f t="shared" si="8"/>
        <v>0</v>
      </c>
      <c r="Q19" s="30">
        <f t="shared" si="9"/>
        <v>0</v>
      </c>
      <c r="R19" s="30">
        <f t="shared" si="10"/>
        <v>798</v>
      </c>
      <c r="S19" s="30">
        <f t="shared" si="11"/>
        <v>0</v>
      </c>
      <c r="T19" s="30">
        <f t="shared" si="12"/>
        <v>0</v>
      </c>
      <c r="U19" s="30">
        <f t="shared" si="13"/>
        <v>0</v>
      </c>
      <c r="V19" s="30">
        <f t="shared" si="13"/>
        <v>726</v>
      </c>
      <c r="W19" s="30">
        <f t="shared" si="14"/>
        <v>0</v>
      </c>
      <c r="X19" s="30">
        <f t="shared" si="15"/>
        <v>0</v>
      </c>
      <c r="Y19" s="30">
        <f t="shared" si="16"/>
        <v>0</v>
      </c>
    </row>
    <row r="20" spans="1:25" x14ac:dyDescent="0.2">
      <c r="A20" s="28" t="s">
        <v>30</v>
      </c>
      <c r="B20" s="30">
        <f t="shared" si="4"/>
        <v>1673</v>
      </c>
      <c r="C20" s="30">
        <f t="shared" ref="C20:M20" si="18">C19+C8</f>
        <v>0</v>
      </c>
      <c r="D20" s="30">
        <f t="shared" si="18"/>
        <v>0</v>
      </c>
      <c r="E20" s="30">
        <f t="shared" si="18"/>
        <v>0</v>
      </c>
      <c r="F20" s="30">
        <f t="shared" si="18"/>
        <v>2167</v>
      </c>
      <c r="G20" s="30">
        <f t="shared" si="18"/>
        <v>0</v>
      </c>
      <c r="H20" s="30">
        <f t="shared" si="18"/>
        <v>0</v>
      </c>
      <c r="I20" s="30">
        <f t="shared" si="18"/>
        <v>0</v>
      </c>
      <c r="J20" s="30">
        <f t="shared" si="18"/>
        <v>4493</v>
      </c>
      <c r="K20" s="30">
        <f t="shared" si="18"/>
        <v>0</v>
      </c>
      <c r="L20" s="30">
        <f t="shared" si="18"/>
        <v>0</v>
      </c>
      <c r="M20" s="30">
        <f t="shared" si="18"/>
        <v>0</v>
      </c>
      <c r="N20" s="30">
        <f t="shared" si="6"/>
        <v>5413</v>
      </c>
      <c r="O20" s="30">
        <f t="shared" si="7"/>
        <v>0</v>
      </c>
      <c r="P20" s="30">
        <f t="shared" si="8"/>
        <v>0</v>
      </c>
      <c r="Q20" s="30">
        <f t="shared" si="9"/>
        <v>0</v>
      </c>
      <c r="R20" s="30">
        <f t="shared" si="10"/>
        <v>997</v>
      </c>
      <c r="S20" s="30">
        <f t="shared" si="11"/>
        <v>0</v>
      </c>
      <c r="T20" s="30">
        <f t="shared" si="12"/>
        <v>0</v>
      </c>
      <c r="U20" s="30">
        <f t="shared" si="13"/>
        <v>0</v>
      </c>
      <c r="V20" s="30">
        <f t="shared" si="13"/>
        <v>909</v>
      </c>
      <c r="W20" s="30">
        <f t="shared" si="14"/>
        <v>0</v>
      </c>
      <c r="X20" s="30">
        <f t="shared" si="15"/>
        <v>0</v>
      </c>
      <c r="Y20" s="30">
        <f t="shared" si="16"/>
        <v>0</v>
      </c>
    </row>
    <row r="21" spans="1:25" x14ac:dyDescent="0.2">
      <c r="A21" s="28" t="s">
        <v>31</v>
      </c>
      <c r="B21" s="30">
        <f t="shared" si="4"/>
        <v>2016</v>
      </c>
      <c r="C21" s="30">
        <f t="shared" ref="C21:M21" si="19">C20+C9</f>
        <v>0</v>
      </c>
      <c r="D21" s="30">
        <f t="shared" si="19"/>
        <v>0</v>
      </c>
      <c r="E21" s="30">
        <f t="shared" si="19"/>
        <v>0</v>
      </c>
      <c r="F21" s="30">
        <f t="shared" si="19"/>
        <v>2750</v>
      </c>
      <c r="G21" s="30">
        <f t="shared" si="19"/>
        <v>0</v>
      </c>
      <c r="H21" s="30">
        <f t="shared" si="19"/>
        <v>0</v>
      </c>
      <c r="I21" s="30">
        <f t="shared" si="19"/>
        <v>0</v>
      </c>
      <c r="J21" s="30">
        <f t="shared" si="19"/>
        <v>5392</v>
      </c>
      <c r="K21" s="30">
        <f t="shared" si="19"/>
        <v>0</v>
      </c>
      <c r="L21" s="30">
        <f t="shared" si="19"/>
        <v>0</v>
      </c>
      <c r="M21" s="30">
        <f t="shared" si="19"/>
        <v>0</v>
      </c>
      <c r="N21" s="30">
        <f t="shared" si="6"/>
        <v>6497</v>
      </c>
      <c r="O21" s="30">
        <f t="shared" si="7"/>
        <v>0</v>
      </c>
      <c r="P21" s="30">
        <f t="shared" si="8"/>
        <v>0</v>
      </c>
      <c r="Q21" s="30">
        <f t="shared" si="9"/>
        <v>0</v>
      </c>
      <c r="R21" s="30">
        <f t="shared" si="10"/>
        <v>1196</v>
      </c>
      <c r="S21" s="30">
        <f t="shared" si="11"/>
        <v>0</v>
      </c>
      <c r="T21" s="30">
        <f t="shared" si="12"/>
        <v>0</v>
      </c>
      <c r="U21" s="30">
        <f t="shared" si="13"/>
        <v>0</v>
      </c>
      <c r="V21" s="30">
        <f t="shared" si="13"/>
        <v>1095</v>
      </c>
      <c r="W21" s="30">
        <f t="shared" si="14"/>
        <v>0</v>
      </c>
      <c r="X21" s="30">
        <f t="shared" si="15"/>
        <v>0</v>
      </c>
      <c r="Y21" s="30">
        <f t="shared" si="16"/>
        <v>0</v>
      </c>
    </row>
    <row r="22" spans="1:25" x14ac:dyDescent="0.2">
      <c r="A22" s="28" t="s">
        <v>32</v>
      </c>
      <c r="B22" s="30">
        <f t="shared" si="4"/>
        <v>2204</v>
      </c>
      <c r="C22" s="30">
        <f t="shared" ref="C22:M22" si="20">C21+C10</f>
        <v>0</v>
      </c>
      <c r="D22" s="30">
        <f t="shared" si="20"/>
        <v>0</v>
      </c>
      <c r="E22" s="30">
        <f t="shared" si="20"/>
        <v>0</v>
      </c>
      <c r="F22" s="30">
        <f t="shared" si="20"/>
        <v>2983</v>
      </c>
      <c r="G22" s="30">
        <f t="shared" si="20"/>
        <v>0</v>
      </c>
      <c r="H22" s="30">
        <f t="shared" si="20"/>
        <v>0</v>
      </c>
      <c r="I22" s="30">
        <f t="shared" si="20"/>
        <v>0</v>
      </c>
      <c r="J22" s="30">
        <f t="shared" si="20"/>
        <v>6110</v>
      </c>
      <c r="K22" s="30">
        <f t="shared" si="20"/>
        <v>0</v>
      </c>
      <c r="L22" s="30">
        <f t="shared" si="20"/>
        <v>0</v>
      </c>
      <c r="M22" s="30">
        <f t="shared" si="20"/>
        <v>0</v>
      </c>
      <c r="N22" s="30">
        <f t="shared" si="6"/>
        <v>7364</v>
      </c>
      <c r="O22" s="30">
        <f t="shared" si="7"/>
        <v>0</v>
      </c>
      <c r="P22" s="30">
        <f t="shared" si="8"/>
        <v>0</v>
      </c>
      <c r="Q22" s="30">
        <f t="shared" si="9"/>
        <v>0</v>
      </c>
      <c r="R22" s="30">
        <f t="shared" si="10"/>
        <v>1355</v>
      </c>
      <c r="S22" s="30">
        <f t="shared" si="11"/>
        <v>0</v>
      </c>
      <c r="T22" s="30">
        <f t="shared" si="12"/>
        <v>0</v>
      </c>
      <c r="U22" s="30">
        <f t="shared" si="13"/>
        <v>0</v>
      </c>
      <c r="V22" s="30">
        <f t="shared" si="13"/>
        <v>1241</v>
      </c>
      <c r="W22" s="30">
        <f t="shared" si="14"/>
        <v>0</v>
      </c>
      <c r="X22" s="30">
        <f t="shared" si="15"/>
        <v>0</v>
      </c>
      <c r="Y22" s="30">
        <f t="shared" si="16"/>
        <v>0</v>
      </c>
    </row>
    <row r="23" spans="1:25" x14ac:dyDescent="0.2">
      <c r="A23" s="28" t="s">
        <v>33</v>
      </c>
      <c r="B23" s="30">
        <f t="shared" si="4"/>
        <v>2403</v>
      </c>
      <c r="C23" s="30">
        <f t="shared" ref="C23:M23" si="21">C22+C11</f>
        <v>0</v>
      </c>
      <c r="D23" s="30">
        <f t="shared" si="21"/>
        <v>0</v>
      </c>
      <c r="E23" s="30">
        <f t="shared" si="21"/>
        <v>0</v>
      </c>
      <c r="F23" s="30">
        <f t="shared" si="21"/>
        <v>3216</v>
      </c>
      <c r="G23" s="30">
        <f t="shared" si="21"/>
        <v>0</v>
      </c>
      <c r="H23" s="30">
        <f t="shared" si="21"/>
        <v>0</v>
      </c>
      <c r="I23" s="30">
        <f t="shared" si="21"/>
        <v>0</v>
      </c>
      <c r="J23" s="30">
        <f t="shared" si="21"/>
        <v>6828</v>
      </c>
      <c r="K23" s="30">
        <f t="shared" si="21"/>
        <v>0</v>
      </c>
      <c r="L23" s="30">
        <f t="shared" si="21"/>
        <v>0</v>
      </c>
      <c r="M23" s="30">
        <f t="shared" si="21"/>
        <v>0</v>
      </c>
      <c r="N23" s="30">
        <f t="shared" si="6"/>
        <v>8231</v>
      </c>
      <c r="O23" s="30">
        <f t="shared" si="7"/>
        <v>0</v>
      </c>
      <c r="P23" s="30">
        <f t="shared" si="8"/>
        <v>0</v>
      </c>
      <c r="Q23" s="30">
        <f t="shared" si="9"/>
        <v>0</v>
      </c>
      <c r="R23" s="30">
        <f t="shared" si="10"/>
        <v>1514</v>
      </c>
      <c r="S23" s="30">
        <f t="shared" si="11"/>
        <v>0</v>
      </c>
      <c r="T23" s="30">
        <f t="shared" si="12"/>
        <v>0</v>
      </c>
      <c r="U23" s="30">
        <f t="shared" si="13"/>
        <v>0</v>
      </c>
      <c r="V23" s="30">
        <f t="shared" si="13"/>
        <v>1387</v>
      </c>
      <c r="W23" s="30">
        <f t="shared" si="14"/>
        <v>0</v>
      </c>
      <c r="X23" s="30">
        <f t="shared" si="15"/>
        <v>0</v>
      </c>
      <c r="Y23" s="30">
        <f t="shared" si="16"/>
        <v>0</v>
      </c>
    </row>
    <row r="24" spans="1:25" x14ac:dyDescent="0.2">
      <c r="A24" s="29" t="s">
        <v>34</v>
      </c>
      <c r="B24" s="31">
        <f t="shared" si="4"/>
        <v>2700</v>
      </c>
      <c r="C24" s="31">
        <f t="shared" ref="C24:M24" si="22">C23+C12</f>
        <v>0</v>
      </c>
      <c r="D24" s="31">
        <f t="shared" si="22"/>
        <v>0</v>
      </c>
      <c r="E24" s="31">
        <f t="shared" si="22"/>
        <v>0</v>
      </c>
      <c r="F24" s="31">
        <f t="shared" si="22"/>
        <v>3541</v>
      </c>
      <c r="G24" s="31">
        <f t="shared" si="22"/>
        <v>0</v>
      </c>
      <c r="H24" s="31">
        <f t="shared" si="22"/>
        <v>0</v>
      </c>
      <c r="I24" s="31">
        <f t="shared" si="22"/>
        <v>0</v>
      </c>
      <c r="J24" s="31">
        <f t="shared" si="22"/>
        <v>10974</v>
      </c>
      <c r="K24" s="31">
        <f t="shared" si="22"/>
        <v>0</v>
      </c>
      <c r="L24" s="31">
        <f t="shared" si="22"/>
        <v>0</v>
      </c>
      <c r="M24" s="31">
        <f t="shared" si="22"/>
        <v>0</v>
      </c>
      <c r="N24" s="31">
        <f t="shared" si="6"/>
        <v>9218</v>
      </c>
      <c r="O24" s="31">
        <f t="shared" si="7"/>
        <v>0</v>
      </c>
      <c r="P24" s="31">
        <f t="shared" si="8"/>
        <v>0</v>
      </c>
      <c r="Q24" s="31">
        <f t="shared" si="9"/>
        <v>0</v>
      </c>
      <c r="R24" s="31">
        <f t="shared" si="10"/>
        <v>1567</v>
      </c>
      <c r="S24" s="31">
        <f t="shared" si="11"/>
        <v>0</v>
      </c>
      <c r="T24" s="31">
        <f t="shared" si="12"/>
        <v>0</v>
      </c>
      <c r="U24" s="31">
        <f t="shared" si="13"/>
        <v>0</v>
      </c>
      <c r="V24" s="31">
        <f t="shared" si="13"/>
        <v>1533</v>
      </c>
      <c r="W24" s="31">
        <f t="shared" si="14"/>
        <v>0</v>
      </c>
      <c r="X24" s="31">
        <f t="shared" si="15"/>
        <v>0</v>
      </c>
      <c r="Y24" s="31">
        <f t="shared" si="16"/>
        <v>0</v>
      </c>
    </row>
    <row r="25" spans="1:25" x14ac:dyDescent="0.2">
      <c r="A25" s="29" t="s">
        <v>35</v>
      </c>
      <c r="B25" s="31">
        <f t="shared" si="4"/>
        <v>3069</v>
      </c>
      <c r="C25" s="31">
        <f t="shared" ref="C25:M25" si="23">C24+C13</f>
        <v>0</v>
      </c>
      <c r="D25" s="31">
        <f t="shared" si="23"/>
        <v>0</v>
      </c>
      <c r="E25" s="31">
        <f t="shared" si="23"/>
        <v>0</v>
      </c>
      <c r="F25" s="31">
        <f t="shared" si="23"/>
        <v>3925</v>
      </c>
      <c r="G25" s="31">
        <f t="shared" si="23"/>
        <v>0</v>
      </c>
      <c r="H25" s="31">
        <f t="shared" si="23"/>
        <v>0</v>
      </c>
      <c r="I25" s="31">
        <f t="shared" si="23"/>
        <v>0</v>
      </c>
      <c r="J25" s="31">
        <f t="shared" si="23"/>
        <v>15484</v>
      </c>
      <c r="K25" s="31">
        <f t="shared" si="23"/>
        <v>0</v>
      </c>
      <c r="L25" s="31">
        <f t="shared" si="23"/>
        <v>0</v>
      </c>
      <c r="M25" s="31">
        <f t="shared" si="23"/>
        <v>0</v>
      </c>
      <c r="N25" s="31">
        <f t="shared" si="6"/>
        <v>10531</v>
      </c>
      <c r="O25" s="31">
        <f t="shared" si="7"/>
        <v>0</v>
      </c>
      <c r="P25" s="31">
        <f t="shared" si="8"/>
        <v>0</v>
      </c>
      <c r="Q25" s="31">
        <f t="shared" si="9"/>
        <v>0</v>
      </c>
      <c r="R25" s="31">
        <f t="shared" si="10"/>
        <v>1700</v>
      </c>
      <c r="S25" s="31">
        <f t="shared" si="11"/>
        <v>0</v>
      </c>
      <c r="T25" s="31">
        <f t="shared" si="12"/>
        <v>0</v>
      </c>
      <c r="U25" s="31">
        <f t="shared" si="13"/>
        <v>0</v>
      </c>
      <c r="V25" s="31">
        <f t="shared" si="13"/>
        <v>1752</v>
      </c>
      <c r="W25" s="31">
        <f t="shared" si="14"/>
        <v>0</v>
      </c>
      <c r="X25" s="31">
        <f t="shared" si="15"/>
        <v>0</v>
      </c>
      <c r="Y25" s="31">
        <f t="shared" si="16"/>
        <v>0</v>
      </c>
    </row>
    <row r="26" spans="1:25" x14ac:dyDescent="0.2">
      <c r="A26" s="29" t="s">
        <v>36</v>
      </c>
      <c r="B26" s="31">
        <f t="shared" si="4"/>
        <v>3438</v>
      </c>
      <c r="C26" s="31">
        <f t="shared" ref="C26:M26" si="24">C25+C14</f>
        <v>0</v>
      </c>
      <c r="D26" s="31">
        <f t="shared" si="24"/>
        <v>0</v>
      </c>
      <c r="E26" s="31">
        <f t="shared" si="24"/>
        <v>0</v>
      </c>
      <c r="F26" s="31">
        <f t="shared" si="24"/>
        <v>4312</v>
      </c>
      <c r="G26" s="31">
        <f t="shared" si="24"/>
        <v>0</v>
      </c>
      <c r="H26" s="31">
        <f t="shared" si="24"/>
        <v>0</v>
      </c>
      <c r="I26" s="31">
        <f t="shared" si="24"/>
        <v>0</v>
      </c>
      <c r="J26" s="31">
        <f t="shared" si="24"/>
        <v>19994</v>
      </c>
      <c r="K26" s="31">
        <f t="shared" si="24"/>
        <v>0</v>
      </c>
      <c r="L26" s="31">
        <f t="shared" si="24"/>
        <v>0</v>
      </c>
      <c r="M26" s="31">
        <f t="shared" si="24"/>
        <v>0</v>
      </c>
      <c r="N26" s="31">
        <f t="shared" si="6"/>
        <v>11844</v>
      </c>
      <c r="O26" s="31">
        <f t="shared" si="7"/>
        <v>0</v>
      </c>
      <c r="P26" s="31">
        <f t="shared" si="8"/>
        <v>0</v>
      </c>
      <c r="Q26" s="31">
        <f t="shared" si="9"/>
        <v>0</v>
      </c>
      <c r="R26" s="31">
        <f t="shared" si="10"/>
        <v>1833</v>
      </c>
      <c r="S26" s="31">
        <f t="shared" si="11"/>
        <v>0</v>
      </c>
      <c r="T26" s="31">
        <f t="shared" si="12"/>
        <v>0</v>
      </c>
      <c r="U26" s="31">
        <f t="shared" si="13"/>
        <v>0</v>
      </c>
      <c r="V26" s="31">
        <f t="shared" si="13"/>
        <v>1971</v>
      </c>
      <c r="W26" s="31">
        <f t="shared" si="14"/>
        <v>0</v>
      </c>
      <c r="X26" s="31">
        <f t="shared" si="15"/>
        <v>0</v>
      </c>
      <c r="Y26" s="31">
        <f t="shared" si="16"/>
        <v>0</v>
      </c>
    </row>
    <row r="27" spans="1:25" x14ac:dyDescent="0.2">
      <c r="A27" s="12" t="s">
        <v>15</v>
      </c>
      <c r="B27" s="32">
        <f t="shared" si="4"/>
        <v>3807</v>
      </c>
      <c r="C27" s="32">
        <f t="shared" ref="C27:M27" si="25">C26+C15</f>
        <v>0</v>
      </c>
      <c r="D27" s="32">
        <f t="shared" si="25"/>
        <v>0</v>
      </c>
      <c r="E27" s="32">
        <f t="shared" si="25"/>
        <v>0</v>
      </c>
      <c r="F27" s="32">
        <f t="shared" si="25"/>
        <v>4700</v>
      </c>
      <c r="G27" s="32">
        <f t="shared" si="25"/>
        <v>0</v>
      </c>
      <c r="H27" s="32">
        <f t="shared" si="25"/>
        <v>0</v>
      </c>
      <c r="I27" s="32">
        <f t="shared" si="25"/>
        <v>0</v>
      </c>
      <c r="J27" s="32">
        <f t="shared" si="25"/>
        <v>24504</v>
      </c>
      <c r="K27" s="32">
        <f t="shared" si="25"/>
        <v>0</v>
      </c>
      <c r="L27" s="32">
        <f t="shared" si="25"/>
        <v>0</v>
      </c>
      <c r="M27" s="32">
        <f t="shared" si="25"/>
        <v>0</v>
      </c>
      <c r="N27" s="32">
        <f t="shared" si="6"/>
        <v>13157</v>
      </c>
      <c r="O27" s="32">
        <f t="shared" si="7"/>
        <v>0</v>
      </c>
      <c r="P27" s="32">
        <f t="shared" si="8"/>
        <v>0</v>
      </c>
      <c r="Q27" s="32">
        <f t="shared" si="9"/>
        <v>0</v>
      </c>
      <c r="R27" s="32">
        <f t="shared" si="10"/>
        <v>1966</v>
      </c>
      <c r="S27" s="32">
        <f t="shared" si="11"/>
        <v>0</v>
      </c>
      <c r="T27" s="32">
        <f t="shared" si="12"/>
        <v>0</v>
      </c>
      <c r="U27" s="32">
        <f t="shared" si="13"/>
        <v>0</v>
      </c>
      <c r="V27" s="32">
        <f t="shared" si="13"/>
        <v>2190</v>
      </c>
      <c r="W27" s="32">
        <f t="shared" si="14"/>
        <v>0</v>
      </c>
      <c r="X27" s="32">
        <f t="shared" si="15"/>
        <v>0</v>
      </c>
      <c r="Y27" s="32">
        <f t="shared" si="16"/>
        <v>0</v>
      </c>
    </row>
  </sheetData>
  <mergeCells count="8">
    <mergeCell ref="B1:D1"/>
    <mergeCell ref="F1:H1"/>
    <mergeCell ref="C2:E2"/>
    <mergeCell ref="G2:I2"/>
    <mergeCell ref="W2:Y2"/>
    <mergeCell ref="O2:Q2"/>
    <mergeCell ref="S2:U2"/>
    <mergeCell ref="K2:M2"/>
  </mergeCells>
  <phoneticPr fontId="0" type="noConversion"/>
  <pageMargins left="0" right="0" top="0" bottom="0" header="0" footer="0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2" max="2" width="9.7109375" customWidth="1"/>
    <col min="3" max="3" width="10.5703125" bestFit="1" customWidth="1"/>
    <col min="6" max="6" width="10.5703125" bestFit="1" customWidth="1"/>
    <col min="7" max="10" width="10.5703125" customWidth="1"/>
    <col min="12" max="12" width="9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3" t="s">
        <v>4</v>
      </c>
      <c r="B4" s="22"/>
      <c r="C4" s="22"/>
      <c r="D4" s="22"/>
      <c r="E4" s="22"/>
      <c r="F4" s="22">
        <v>286</v>
      </c>
      <c r="G4" s="22"/>
      <c r="H4" s="22"/>
      <c r="I4" s="125"/>
      <c r="J4" s="22">
        <v>330</v>
      </c>
      <c r="K4" s="22"/>
      <c r="L4" s="22"/>
      <c r="M4" s="22"/>
      <c r="N4" s="22">
        <v>500</v>
      </c>
      <c r="O4" s="22"/>
      <c r="P4" s="22"/>
      <c r="Q4" s="22"/>
      <c r="R4" s="22">
        <v>120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3" t="s">
        <v>7</v>
      </c>
      <c r="B5" s="22"/>
      <c r="C5" s="22"/>
      <c r="D5" s="22"/>
      <c r="E5" s="22"/>
      <c r="F5" s="22">
        <v>286</v>
      </c>
      <c r="G5" s="22"/>
      <c r="H5" s="22"/>
      <c r="I5" s="125"/>
      <c r="J5" s="22">
        <v>460</v>
      </c>
      <c r="K5" s="22"/>
      <c r="L5" s="22"/>
      <c r="M5" s="22"/>
      <c r="N5" s="22">
        <v>550</v>
      </c>
      <c r="O5" s="22"/>
      <c r="P5" s="22"/>
      <c r="Q5" s="22"/>
      <c r="R5" s="22">
        <v>127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3" t="s">
        <v>8</v>
      </c>
      <c r="B6" s="22"/>
      <c r="C6" s="22"/>
      <c r="D6" s="22"/>
      <c r="E6" s="22"/>
      <c r="F6" s="22">
        <v>286</v>
      </c>
      <c r="G6" s="22"/>
      <c r="H6" s="22"/>
      <c r="I6" s="125"/>
      <c r="J6" s="22">
        <v>510</v>
      </c>
      <c r="K6" s="22"/>
      <c r="L6" s="22"/>
      <c r="M6" s="22"/>
      <c r="N6" s="22">
        <v>550</v>
      </c>
      <c r="O6" s="22"/>
      <c r="P6" s="22"/>
      <c r="Q6" s="22"/>
      <c r="R6" s="22">
        <v>127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3" t="s">
        <v>16</v>
      </c>
      <c r="B7" s="22"/>
      <c r="C7" s="22"/>
      <c r="D7" s="22"/>
      <c r="E7" s="22"/>
      <c r="F7" s="22">
        <v>286</v>
      </c>
      <c r="G7" s="22"/>
      <c r="H7" s="22"/>
      <c r="I7" s="125"/>
      <c r="J7" s="22">
        <v>530</v>
      </c>
      <c r="K7" s="22"/>
      <c r="L7" s="22"/>
      <c r="M7" s="22"/>
      <c r="N7" s="22">
        <v>580</v>
      </c>
      <c r="O7" s="22"/>
      <c r="P7" s="22"/>
      <c r="Q7" s="22"/>
      <c r="R7" s="22">
        <v>140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3" t="s">
        <v>17</v>
      </c>
      <c r="B8" s="22"/>
      <c r="C8" s="22"/>
      <c r="D8" s="22"/>
      <c r="E8" s="22"/>
      <c r="F8" s="22">
        <v>260</v>
      </c>
      <c r="G8" s="22"/>
      <c r="H8" s="22"/>
      <c r="I8" s="125"/>
      <c r="J8" s="22">
        <v>530</v>
      </c>
      <c r="K8" s="22"/>
      <c r="L8" s="22"/>
      <c r="M8" s="22"/>
      <c r="N8" s="22">
        <v>580</v>
      </c>
      <c r="O8" s="22"/>
      <c r="P8" s="22"/>
      <c r="Q8" s="22"/>
      <c r="R8" s="22">
        <v>140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3" t="s">
        <v>18</v>
      </c>
      <c r="B9" s="22"/>
      <c r="C9" s="22"/>
      <c r="D9" s="22"/>
      <c r="E9" s="22"/>
      <c r="F9" s="22">
        <v>260</v>
      </c>
      <c r="G9" s="22"/>
      <c r="H9" s="22"/>
      <c r="I9" s="125"/>
      <c r="J9" s="22">
        <v>430</v>
      </c>
      <c r="K9" s="22"/>
      <c r="L9" s="22"/>
      <c r="M9" s="22"/>
      <c r="N9" s="22">
        <v>580</v>
      </c>
      <c r="O9" s="22"/>
      <c r="P9" s="22"/>
      <c r="Q9" s="22"/>
      <c r="R9" s="22">
        <v>140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x14ac:dyDescent="0.2">
      <c r="A10" s="2" t="s">
        <v>19</v>
      </c>
      <c r="B10" s="22"/>
      <c r="C10" s="22"/>
      <c r="D10" s="22"/>
      <c r="E10" s="22"/>
      <c r="F10" s="22">
        <v>260</v>
      </c>
      <c r="G10" s="22"/>
      <c r="H10" s="22"/>
      <c r="I10" s="125"/>
      <c r="J10" s="22">
        <v>1202</v>
      </c>
      <c r="K10" s="22"/>
      <c r="L10" s="22"/>
      <c r="M10" s="22"/>
      <c r="N10" s="22">
        <v>360</v>
      </c>
      <c r="O10" s="22"/>
      <c r="P10" s="22"/>
      <c r="Q10" s="22"/>
      <c r="R10" s="22">
        <v>80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2">
      <c r="A11" s="3" t="s">
        <v>10</v>
      </c>
      <c r="B11" s="22"/>
      <c r="C11" s="22"/>
      <c r="D11" s="22"/>
      <c r="E11" s="22"/>
      <c r="F11" s="22">
        <v>260</v>
      </c>
      <c r="G11" s="22"/>
      <c r="H11" s="22"/>
      <c r="I11" s="125"/>
      <c r="J11" s="22">
        <v>1202</v>
      </c>
      <c r="K11" s="22"/>
      <c r="L11" s="22"/>
      <c r="M11" s="22"/>
      <c r="N11" s="22">
        <v>360</v>
      </c>
      <c r="O11" s="22"/>
      <c r="P11" s="22"/>
      <c r="Q11" s="22"/>
      <c r="R11" s="22">
        <v>80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">
      <c r="A12" s="3" t="s">
        <v>11</v>
      </c>
      <c r="B12" s="22"/>
      <c r="C12" s="22"/>
      <c r="D12" s="22"/>
      <c r="E12" s="22"/>
      <c r="F12" s="22">
        <v>260</v>
      </c>
      <c r="G12" s="22"/>
      <c r="H12" s="22"/>
      <c r="I12" s="125"/>
      <c r="J12" s="22">
        <v>1202</v>
      </c>
      <c r="K12" s="22"/>
      <c r="L12" s="22"/>
      <c r="M12" s="22"/>
      <c r="N12" s="22">
        <v>360</v>
      </c>
      <c r="O12" s="22"/>
      <c r="P12" s="22"/>
      <c r="Q12" s="22"/>
      <c r="R12" s="22">
        <v>80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">
      <c r="A13" s="3" t="s">
        <v>12</v>
      </c>
      <c r="B13" s="22"/>
      <c r="C13" s="22"/>
      <c r="D13" s="22"/>
      <c r="E13" s="22"/>
      <c r="F13" s="22">
        <v>260</v>
      </c>
      <c r="G13" s="22"/>
      <c r="H13" s="22"/>
      <c r="I13" s="125"/>
      <c r="J13" s="22">
        <v>1202</v>
      </c>
      <c r="K13" s="22"/>
      <c r="L13" s="22"/>
      <c r="M13" s="22"/>
      <c r="N13" s="22">
        <v>360</v>
      </c>
      <c r="O13" s="22"/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2">
      <c r="A14" s="3" t="s">
        <v>13</v>
      </c>
      <c r="B14" s="22"/>
      <c r="C14" s="22"/>
      <c r="D14" s="22"/>
      <c r="E14" s="22"/>
      <c r="F14" s="22">
        <v>260</v>
      </c>
      <c r="G14" s="22"/>
      <c r="H14" s="22"/>
      <c r="I14" s="125"/>
      <c r="J14" s="22">
        <v>1202</v>
      </c>
      <c r="K14" s="22"/>
      <c r="L14" s="22"/>
      <c r="M14" s="22"/>
      <c r="N14" s="22">
        <v>380</v>
      </c>
      <c r="O14" s="22"/>
      <c r="P14" s="22"/>
      <c r="Q14" s="22"/>
      <c r="R14" s="22">
        <v>85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">
      <c r="A15" s="3" t="s">
        <v>14</v>
      </c>
      <c r="B15" s="22"/>
      <c r="C15" s="22"/>
      <c r="D15" s="22"/>
      <c r="E15" s="22"/>
      <c r="F15" s="22">
        <v>286</v>
      </c>
      <c r="G15" s="22"/>
      <c r="H15" s="22"/>
      <c r="I15" s="125"/>
      <c r="J15" s="22">
        <v>1204</v>
      </c>
      <c r="K15" s="22"/>
      <c r="L15" s="22"/>
      <c r="M15" s="22"/>
      <c r="N15" s="22">
        <v>389</v>
      </c>
      <c r="O15" s="22"/>
      <c r="P15" s="22"/>
      <c r="Q15" s="22"/>
      <c r="R15" s="22">
        <v>114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">
      <c r="A16" s="13" t="s">
        <v>6</v>
      </c>
      <c r="B16" s="22">
        <f>SUM(B4:B15)</f>
        <v>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3250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10004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5549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1318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572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790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1050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247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</v>
      </c>
      <c r="B18" s="30">
        <f t="shared" ref="B18:AC27" si="2">B17+B6</f>
        <v>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858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1300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1600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374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1144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1830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2180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514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1404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2360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2760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654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1664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2790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3340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794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1924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3992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3700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874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0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2184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5194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4060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954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9" t="s">
        <v>34</v>
      </c>
      <c r="B24" s="30">
        <f t="shared" si="2"/>
        <v>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2444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6396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4420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1034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2704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7598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4780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1119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0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2964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8800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5160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1204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3250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10004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5549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1318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B1:D1"/>
    <mergeCell ref="F1:H1"/>
    <mergeCell ref="O2:Q2"/>
    <mergeCell ref="S2:U2"/>
    <mergeCell ref="W2:Y2"/>
    <mergeCell ref="AA2:AC2"/>
    <mergeCell ref="C2:E2"/>
    <mergeCell ref="G2:I2"/>
    <mergeCell ref="K2:M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5" width="9.5703125" customWidth="1"/>
    <col min="7" max="7" width="11" bestFit="1" customWidth="1"/>
    <col min="8" max="8" width="9" bestFit="1" customWidth="1"/>
    <col min="9" max="9" width="9" customWidth="1"/>
    <col min="12" max="12" width="9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1</v>
      </c>
      <c r="G1" s="358"/>
      <c r="H1" s="358"/>
      <c r="I1" s="20"/>
      <c r="J1" s="19"/>
      <c r="K1" s="24" t="s">
        <v>22</v>
      </c>
      <c r="L1" s="25"/>
      <c r="N1" s="19"/>
      <c r="O1" s="118" t="s">
        <v>192</v>
      </c>
      <c r="P1" s="119"/>
      <c r="S1" t="s">
        <v>193</v>
      </c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70" t="s">
        <v>25</v>
      </c>
      <c r="P2" s="370"/>
      <c r="Q2" s="370"/>
      <c r="R2" s="5" t="s">
        <v>6</v>
      </c>
      <c r="S2" s="370" t="s">
        <v>25</v>
      </c>
      <c r="T2" s="370"/>
      <c r="U2" s="370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 t="s">
        <v>127</v>
      </c>
      <c r="J3" s="7"/>
      <c r="K3" s="17" t="s">
        <v>27</v>
      </c>
      <c r="L3" s="15" t="s">
        <v>26</v>
      </c>
      <c r="M3" s="117" t="s">
        <v>127</v>
      </c>
      <c r="N3" s="7"/>
      <c r="O3" s="21" t="s">
        <v>27</v>
      </c>
      <c r="P3" s="21" t="s">
        <v>26</v>
      </c>
      <c r="Q3" s="21" t="s">
        <v>127</v>
      </c>
      <c r="R3" s="7"/>
      <c r="S3" s="21" t="s">
        <v>27</v>
      </c>
      <c r="T3" s="21" t="s">
        <v>26</v>
      </c>
      <c r="U3" s="21" t="s">
        <v>127</v>
      </c>
    </row>
    <row r="4" spans="1:27" x14ac:dyDescent="0.2">
      <c r="A4" s="1" t="s">
        <v>4</v>
      </c>
      <c r="B4" s="22">
        <v>250</v>
      </c>
      <c r="C4" s="104"/>
      <c r="D4" s="22"/>
      <c r="E4" s="22"/>
      <c r="F4" s="22"/>
      <c r="G4" s="104"/>
      <c r="H4" s="22"/>
      <c r="I4" s="22"/>
      <c r="J4" s="22">
        <v>92</v>
      </c>
      <c r="K4" s="22"/>
      <c r="L4" s="22"/>
      <c r="M4" s="103"/>
      <c r="N4" s="125">
        <v>82</v>
      </c>
      <c r="O4" s="22"/>
      <c r="P4" s="22"/>
      <c r="Q4" s="124"/>
      <c r="R4" s="1"/>
      <c r="S4" s="1"/>
      <c r="T4" s="1"/>
      <c r="U4" s="1"/>
    </row>
    <row r="5" spans="1:27" x14ac:dyDescent="0.2">
      <c r="A5" s="1" t="s">
        <v>7</v>
      </c>
      <c r="B5" s="22">
        <v>250</v>
      </c>
      <c r="C5" s="104"/>
      <c r="D5" s="22"/>
      <c r="E5" s="22"/>
      <c r="F5" s="22"/>
      <c r="G5" s="104"/>
      <c r="H5" s="22"/>
      <c r="I5" s="22"/>
      <c r="J5" s="22">
        <v>92</v>
      </c>
      <c r="K5" s="22"/>
      <c r="L5" s="22"/>
      <c r="M5" s="103"/>
      <c r="N5" s="125">
        <v>82</v>
      </c>
      <c r="O5" s="22"/>
      <c r="P5" s="22"/>
      <c r="Q5" s="124"/>
      <c r="R5" s="1"/>
      <c r="S5" s="1"/>
      <c r="T5" s="1"/>
      <c r="U5" s="1"/>
    </row>
    <row r="6" spans="1:27" x14ac:dyDescent="0.2">
      <c r="A6" s="1" t="s">
        <v>8</v>
      </c>
      <c r="B6" s="22">
        <v>250</v>
      </c>
      <c r="C6" s="104"/>
      <c r="D6" s="22"/>
      <c r="E6" s="22"/>
      <c r="F6" s="22"/>
      <c r="G6" s="104"/>
      <c r="H6" s="22"/>
      <c r="I6" s="22"/>
      <c r="J6" s="22">
        <v>92</v>
      </c>
      <c r="K6" s="22"/>
      <c r="L6" s="22"/>
      <c r="M6" s="103"/>
      <c r="N6" s="125">
        <v>82</v>
      </c>
      <c r="O6" s="22"/>
      <c r="P6" s="22"/>
      <c r="Q6" s="124"/>
      <c r="R6" s="1"/>
      <c r="S6" s="1"/>
      <c r="T6" s="1"/>
      <c r="U6" s="1"/>
    </row>
    <row r="7" spans="1:27" x14ac:dyDescent="0.2">
      <c r="A7" s="1" t="s">
        <v>16</v>
      </c>
      <c r="B7" s="22">
        <v>250</v>
      </c>
      <c r="C7" s="104"/>
      <c r="D7" s="22"/>
      <c r="E7" s="22"/>
      <c r="F7" s="22"/>
      <c r="G7" s="104"/>
      <c r="H7" s="22"/>
      <c r="I7" s="22"/>
      <c r="J7" s="22">
        <v>92</v>
      </c>
      <c r="K7" s="22"/>
      <c r="L7" s="22"/>
      <c r="M7" s="156"/>
      <c r="N7" s="125">
        <v>82</v>
      </c>
      <c r="O7" s="22"/>
      <c r="P7" s="22"/>
      <c r="Q7" s="124"/>
      <c r="R7" s="1"/>
      <c r="S7" s="1"/>
      <c r="T7" s="1"/>
      <c r="U7" s="1"/>
    </row>
    <row r="8" spans="1:27" x14ac:dyDescent="0.2">
      <c r="A8" s="1" t="s">
        <v>17</v>
      </c>
      <c r="B8" s="22">
        <v>250</v>
      </c>
      <c r="C8" s="104"/>
      <c r="D8" s="22"/>
      <c r="E8" s="22"/>
      <c r="F8" s="22"/>
      <c r="G8" s="104"/>
      <c r="H8" s="22"/>
      <c r="I8" s="22"/>
      <c r="J8" s="22">
        <v>92</v>
      </c>
      <c r="K8" s="22"/>
      <c r="L8" s="22"/>
      <c r="M8" s="156"/>
      <c r="N8" s="125">
        <v>82</v>
      </c>
      <c r="O8" s="22"/>
      <c r="P8" s="22"/>
      <c r="Q8" s="124"/>
      <c r="R8" s="1"/>
      <c r="S8" s="1"/>
      <c r="T8" s="1"/>
      <c r="U8" s="1"/>
    </row>
    <row r="9" spans="1:27" x14ac:dyDescent="0.2">
      <c r="A9" s="1" t="s">
        <v>18</v>
      </c>
      <c r="B9" s="22">
        <v>250</v>
      </c>
      <c r="C9" s="104"/>
      <c r="D9" s="22"/>
      <c r="E9" s="22"/>
      <c r="F9" s="22"/>
      <c r="G9" s="104"/>
      <c r="H9" s="22"/>
      <c r="I9" s="22"/>
      <c r="J9" s="22">
        <v>92</v>
      </c>
      <c r="K9" s="22"/>
      <c r="L9" s="22"/>
      <c r="M9" s="156"/>
      <c r="N9" s="125">
        <v>82</v>
      </c>
      <c r="O9" s="22"/>
      <c r="P9" s="22"/>
      <c r="Q9" s="124"/>
      <c r="R9" s="1"/>
      <c r="S9" s="1"/>
      <c r="T9" s="1"/>
      <c r="U9" s="1"/>
    </row>
    <row r="10" spans="1:27" x14ac:dyDescent="0.2">
      <c r="A10" s="18" t="s">
        <v>19</v>
      </c>
      <c r="B10" s="22">
        <v>250</v>
      </c>
      <c r="C10" s="104"/>
      <c r="D10" s="22"/>
      <c r="E10" s="22"/>
      <c r="F10" s="22"/>
      <c r="G10" s="104"/>
      <c r="H10" s="22"/>
      <c r="I10" s="22"/>
      <c r="J10" s="22">
        <v>92</v>
      </c>
      <c r="K10" s="22"/>
      <c r="L10" s="22"/>
      <c r="M10" s="156"/>
      <c r="N10" s="125">
        <v>82</v>
      </c>
      <c r="O10" s="22"/>
      <c r="P10" s="22"/>
      <c r="Q10" s="124"/>
      <c r="R10" s="1"/>
      <c r="S10" s="1"/>
      <c r="T10" s="1"/>
      <c r="U10" s="1"/>
    </row>
    <row r="11" spans="1:27" x14ac:dyDescent="0.2">
      <c r="A11" s="1" t="s">
        <v>10</v>
      </c>
      <c r="B11" s="22">
        <v>250</v>
      </c>
      <c r="C11" s="104"/>
      <c r="D11" s="22"/>
      <c r="E11" s="22"/>
      <c r="F11" s="22"/>
      <c r="G11" s="104"/>
      <c r="H11" s="22"/>
      <c r="I11" s="22"/>
      <c r="J11" s="22">
        <v>92</v>
      </c>
      <c r="K11" s="22"/>
      <c r="L11" s="22"/>
      <c r="M11" s="156"/>
      <c r="N11" s="125">
        <v>82</v>
      </c>
      <c r="O11" s="22"/>
      <c r="P11" s="22"/>
      <c r="Q11" s="124"/>
      <c r="R11" s="1"/>
      <c r="S11" s="1"/>
      <c r="T11" s="1"/>
      <c r="U11" s="1"/>
    </row>
    <row r="12" spans="1:27" x14ac:dyDescent="0.2">
      <c r="A12" s="1" t="s">
        <v>11</v>
      </c>
      <c r="B12" s="22">
        <v>250</v>
      </c>
      <c r="C12" s="104"/>
      <c r="D12" s="22"/>
      <c r="E12" s="22"/>
      <c r="F12" s="22"/>
      <c r="G12" s="104"/>
      <c r="H12" s="22"/>
      <c r="I12" s="22"/>
      <c r="J12" s="22">
        <v>92</v>
      </c>
      <c r="K12" s="22"/>
      <c r="L12" s="22"/>
      <c r="M12" s="156"/>
      <c r="N12" s="125">
        <v>86</v>
      </c>
      <c r="O12" s="22"/>
      <c r="P12" s="22"/>
      <c r="Q12" s="124"/>
      <c r="R12" s="1"/>
      <c r="S12" s="1"/>
      <c r="T12" s="1"/>
      <c r="U12" s="1"/>
    </row>
    <row r="13" spans="1:27" x14ac:dyDescent="0.2">
      <c r="A13" s="1" t="s">
        <v>12</v>
      </c>
      <c r="B13" s="22">
        <v>250</v>
      </c>
      <c r="C13" s="104"/>
      <c r="D13" s="22"/>
      <c r="E13" s="22"/>
      <c r="F13" s="22"/>
      <c r="G13" s="104"/>
      <c r="H13" s="22"/>
      <c r="I13" s="22"/>
      <c r="J13" s="22">
        <v>92</v>
      </c>
      <c r="K13" s="22"/>
      <c r="L13" s="22"/>
      <c r="M13" s="156"/>
      <c r="N13" s="125">
        <v>86</v>
      </c>
      <c r="O13" s="22"/>
      <c r="P13" s="22"/>
      <c r="Q13" s="124"/>
      <c r="R13" s="1"/>
      <c r="S13" s="1"/>
      <c r="T13" s="1"/>
      <c r="U13" s="1"/>
    </row>
    <row r="14" spans="1:27" x14ac:dyDescent="0.2">
      <c r="A14" s="1" t="s">
        <v>13</v>
      </c>
      <c r="B14" s="22">
        <v>250</v>
      </c>
      <c r="C14" s="104"/>
      <c r="D14" s="22"/>
      <c r="E14" s="22"/>
      <c r="F14" s="22"/>
      <c r="G14" s="104"/>
      <c r="H14" s="22"/>
      <c r="I14" s="22"/>
      <c r="J14" s="22">
        <v>94</v>
      </c>
      <c r="K14" s="22"/>
      <c r="L14" s="22"/>
      <c r="M14" s="156"/>
      <c r="N14" s="125">
        <v>86</v>
      </c>
      <c r="O14" s="22"/>
      <c r="P14" s="22"/>
      <c r="Q14" s="124"/>
      <c r="R14" s="1"/>
      <c r="S14" s="1"/>
      <c r="T14" s="1"/>
      <c r="U14" s="1"/>
    </row>
    <row r="15" spans="1:27" x14ac:dyDescent="0.2">
      <c r="A15" s="1" t="s">
        <v>14</v>
      </c>
      <c r="B15" s="22">
        <v>250</v>
      </c>
      <c r="C15" s="104"/>
      <c r="D15" s="22"/>
      <c r="E15" s="22"/>
      <c r="F15" s="22"/>
      <c r="G15" s="104"/>
      <c r="H15" s="22"/>
      <c r="I15" s="22"/>
      <c r="J15" s="22">
        <v>93</v>
      </c>
      <c r="K15" s="22"/>
      <c r="L15" s="22"/>
      <c r="M15" s="156"/>
      <c r="N15" s="125">
        <v>86</v>
      </c>
      <c r="O15" s="22"/>
      <c r="P15" s="22"/>
      <c r="Q15" s="124"/>
      <c r="R15" s="1"/>
      <c r="S15" s="1"/>
      <c r="T15" s="1"/>
      <c r="U15" s="1"/>
    </row>
    <row r="16" spans="1:27" x14ac:dyDescent="0.2">
      <c r="A16" s="1" t="s">
        <v>6</v>
      </c>
      <c r="B16" s="22">
        <f>SUM(B4:B15)</f>
        <v>3000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>SUM(G4:G15)</f>
        <v>0</v>
      </c>
      <c r="H16" s="22">
        <f>SUM(H4:H15)</f>
        <v>0</v>
      </c>
      <c r="I16" s="22">
        <f>SUM(I4:I15)</f>
        <v>0</v>
      </c>
      <c r="J16" s="22">
        <f t="shared" si="0"/>
        <v>1107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125">
        <f t="shared" ref="N16:U16" si="1">SUM(N4:N15)</f>
        <v>1000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0</v>
      </c>
      <c r="S16" s="22">
        <f t="shared" si="1"/>
        <v>0</v>
      </c>
      <c r="T16" s="22">
        <f t="shared" si="1"/>
        <v>0</v>
      </c>
      <c r="U16" s="22">
        <f t="shared" si="1"/>
        <v>0</v>
      </c>
    </row>
    <row r="17" spans="1:21" x14ac:dyDescent="0.2">
      <c r="A17" s="28" t="s">
        <v>28</v>
      </c>
      <c r="B17" s="30">
        <f>B4+B5</f>
        <v>500</v>
      </c>
      <c r="C17" s="30">
        <f t="shared" ref="C17:L17" si="2">C4+C5</f>
        <v>0</v>
      </c>
      <c r="D17" s="30">
        <f t="shared" si="2"/>
        <v>0</v>
      </c>
      <c r="E17" s="30">
        <f>E4+E5</f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184</v>
      </c>
      <c r="K17" s="30">
        <f t="shared" si="2"/>
        <v>0</v>
      </c>
      <c r="L17" s="30">
        <f t="shared" si="2"/>
        <v>0</v>
      </c>
      <c r="M17" s="30">
        <f t="shared" ref="M17:U17" si="3">M4+M5</f>
        <v>0</v>
      </c>
      <c r="N17" s="30">
        <f t="shared" si="3"/>
        <v>164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133">
        <f t="shared" si="3"/>
        <v>0</v>
      </c>
      <c r="S17" s="133">
        <f t="shared" si="3"/>
        <v>0</v>
      </c>
      <c r="T17" s="133">
        <f t="shared" si="3"/>
        <v>0</v>
      </c>
      <c r="U17" s="133">
        <f t="shared" si="3"/>
        <v>0</v>
      </c>
    </row>
    <row r="18" spans="1:21" x14ac:dyDescent="0.2">
      <c r="A18" s="28" t="s">
        <v>37</v>
      </c>
      <c r="B18" s="30">
        <f t="shared" ref="B18:B27" si="4">B17+B6</f>
        <v>750</v>
      </c>
      <c r="C18" s="30">
        <f t="shared" ref="C18:M18" si="5">C17+C6</f>
        <v>0</v>
      </c>
      <c r="D18" s="30">
        <f t="shared" si="5"/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276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ref="N18:N27" si="6">N17+N6</f>
        <v>246</v>
      </c>
      <c r="O18" s="30">
        <f t="shared" ref="O18:O27" si="7">O17+O6</f>
        <v>0</v>
      </c>
      <c r="P18" s="30">
        <f t="shared" ref="P18:P27" si="8">P17+P6</f>
        <v>0</v>
      </c>
      <c r="Q18" s="30">
        <f t="shared" ref="Q18:R27" si="9">Q17+Q6</f>
        <v>0</v>
      </c>
      <c r="R18" s="30">
        <f t="shared" si="9"/>
        <v>0</v>
      </c>
      <c r="S18" s="30">
        <f t="shared" ref="S18:S27" si="10">S17+S6</f>
        <v>0</v>
      </c>
      <c r="T18" s="30">
        <f t="shared" ref="T18:T27" si="11">T17+T6</f>
        <v>0</v>
      </c>
      <c r="U18" s="30">
        <f t="shared" ref="U18:U27" si="12">U17+U6</f>
        <v>0</v>
      </c>
    </row>
    <row r="19" spans="1:21" x14ac:dyDescent="0.2">
      <c r="A19" s="28" t="s">
        <v>29</v>
      </c>
      <c r="B19" s="30">
        <f t="shared" si="4"/>
        <v>1000</v>
      </c>
      <c r="C19" s="30">
        <f t="shared" ref="C19:M19" si="13">C18+C7</f>
        <v>0</v>
      </c>
      <c r="D19" s="30">
        <f t="shared" si="13"/>
        <v>0</v>
      </c>
      <c r="E19" s="30">
        <f t="shared" si="13"/>
        <v>0</v>
      </c>
      <c r="F19" s="30">
        <f t="shared" si="13"/>
        <v>0</v>
      </c>
      <c r="G19" s="30">
        <f t="shared" si="13"/>
        <v>0</v>
      </c>
      <c r="H19" s="30">
        <f t="shared" si="13"/>
        <v>0</v>
      </c>
      <c r="I19" s="30">
        <f t="shared" si="13"/>
        <v>0</v>
      </c>
      <c r="J19" s="30">
        <f t="shared" si="13"/>
        <v>368</v>
      </c>
      <c r="K19" s="30">
        <f t="shared" si="13"/>
        <v>0</v>
      </c>
      <c r="L19" s="30">
        <f t="shared" si="13"/>
        <v>0</v>
      </c>
      <c r="M19" s="30">
        <f t="shared" si="13"/>
        <v>0</v>
      </c>
      <c r="N19" s="30">
        <f t="shared" si="6"/>
        <v>328</v>
      </c>
      <c r="O19" s="30">
        <f t="shared" si="7"/>
        <v>0</v>
      </c>
      <c r="P19" s="30">
        <f t="shared" si="8"/>
        <v>0</v>
      </c>
      <c r="Q19" s="30">
        <f t="shared" si="9"/>
        <v>0</v>
      </c>
      <c r="R19" s="30">
        <f t="shared" si="9"/>
        <v>0</v>
      </c>
      <c r="S19" s="30">
        <f t="shared" si="10"/>
        <v>0</v>
      </c>
      <c r="T19" s="30">
        <f t="shared" si="11"/>
        <v>0</v>
      </c>
      <c r="U19" s="30">
        <f t="shared" si="12"/>
        <v>0</v>
      </c>
    </row>
    <row r="20" spans="1:21" x14ac:dyDescent="0.2">
      <c r="A20" s="28" t="s">
        <v>30</v>
      </c>
      <c r="B20" s="30">
        <f t="shared" si="4"/>
        <v>1250</v>
      </c>
      <c r="C20" s="30">
        <f t="shared" ref="C20:M20" si="14">C19+C8</f>
        <v>0</v>
      </c>
      <c r="D20" s="30">
        <f t="shared" si="14"/>
        <v>0</v>
      </c>
      <c r="E20" s="30">
        <f t="shared" si="14"/>
        <v>0</v>
      </c>
      <c r="F20" s="30">
        <f t="shared" si="14"/>
        <v>0</v>
      </c>
      <c r="G20" s="30">
        <f t="shared" si="14"/>
        <v>0</v>
      </c>
      <c r="H20" s="30">
        <f t="shared" si="14"/>
        <v>0</v>
      </c>
      <c r="I20" s="30">
        <f t="shared" si="14"/>
        <v>0</v>
      </c>
      <c r="J20" s="30">
        <f t="shared" si="14"/>
        <v>460</v>
      </c>
      <c r="K20" s="30">
        <f t="shared" si="14"/>
        <v>0</v>
      </c>
      <c r="L20" s="30">
        <f t="shared" si="14"/>
        <v>0</v>
      </c>
      <c r="M20" s="30">
        <f t="shared" si="14"/>
        <v>0</v>
      </c>
      <c r="N20" s="30">
        <f t="shared" si="6"/>
        <v>410</v>
      </c>
      <c r="O20" s="30">
        <f t="shared" si="7"/>
        <v>0</v>
      </c>
      <c r="P20" s="30">
        <f t="shared" si="8"/>
        <v>0</v>
      </c>
      <c r="Q20" s="30">
        <f t="shared" si="9"/>
        <v>0</v>
      </c>
      <c r="R20" s="30">
        <f t="shared" si="9"/>
        <v>0</v>
      </c>
      <c r="S20" s="30">
        <f t="shared" si="10"/>
        <v>0</v>
      </c>
      <c r="T20" s="30">
        <f t="shared" si="11"/>
        <v>0</v>
      </c>
      <c r="U20" s="30">
        <f t="shared" si="12"/>
        <v>0</v>
      </c>
    </row>
    <row r="21" spans="1:21" x14ac:dyDescent="0.2">
      <c r="A21" s="28" t="s">
        <v>31</v>
      </c>
      <c r="B21" s="30">
        <f t="shared" si="4"/>
        <v>1500</v>
      </c>
      <c r="C21" s="30">
        <f t="shared" ref="C21:M21" si="15">C20+C9</f>
        <v>0</v>
      </c>
      <c r="D21" s="30">
        <f t="shared" si="15"/>
        <v>0</v>
      </c>
      <c r="E21" s="30">
        <f t="shared" si="15"/>
        <v>0</v>
      </c>
      <c r="F21" s="30">
        <f t="shared" si="15"/>
        <v>0</v>
      </c>
      <c r="G21" s="30">
        <f t="shared" si="15"/>
        <v>0</v>
      </c>
      <c r="H21" s="30">
        <f t="shared" si="15"/>
        <v>0</v>
      </c>
      <c r="I21" s="30">
        <f t="shared" si="15"/>
        <v>0</v>
      </c>
      <c r="J21" s="30">
        <f t="shared" si="15"/>
        <v>552</v>
      </c>
      <c r="K21" s="30">
        <f t="shared" si="15"/>
        <v>0</v>
      </c>
      <c r="L21" s="30">
        <f t="shared" si="15"/>
        <v>0</v>
      </c>
      <c r="M21" s="30">
        <f t="shared" si="15"/>
        <v>0</v>
      </c>
      <c r="N21" s="30">
        <f t="shared" si="6"/>
        <v>492</v>
      </c>
      <c r="O21" s="30">
        <f t="shared" si="7"/>
        <v>0</v>
      </c>
      <c r="P21" s="30">
        <f t="shared" si="8"/>
        <v>0</v>
      </c>
      <c r="Q21" s="30">
        <f t="shared" si="9"/>
        <v>0</v>
      </c>
      <c r="R21" s="30">
        <f t="shared" si="9"/>
        <v>0</v>
      </c>
      <c r="S21" s="30">
        <f t="shared" si="10"/>
        <v>0</v>
      </c>
      <c r="T21" s="30">
        <f t="shared" si="11"/>
        <v>0</v>
      </c>
      <c r="U21" s="30">
        <f t="shared" si="12"/>
        <v>0</v>
      </c>
    </row>
    <row r="22" spans="1:21" x14ac:dyDescent="0.2">
      <c r="A22" s="28" t="s">
        <v>32</v>
      </c>
      <c r="B22" s="30">
        <f t="shared" si="4"/>
        <v>1750</v>
      </c>
      <c r="C22" s="30">
        <f t="shared" ref="C22:M22" si="16">C21+C10</f>
        <v>0</v>
      </c>
      <c r="D22" s="30">
        <f t="shared" si="16"/>
        <v>0</v>
      </c>
      <c r="E22" s="30">
        <f t="shared" si="16"/>
        <v>0</v>
      </c>
      <c r="F22" s="30">
        <f t="shared" si="16"/>
        <v>0</v>
      </c>
      <c r="G22" s="30">
        <f t="shared" si="16"/>
        <v>0</v>
      </c>
      <c r="H22" s="30">
        <f t="shared" si="16"/>
        <v>0</v>
      </c>
      <c r="I22" s="30">
        <f t="shared" si="16"/>
        <v>0</v>
      </c>
      <c r="J22" s="30">
        <f t="shared" si="16"/>
        <v>644</v>
      </c>
      <c r="K22" s="30">
        <f t="shared" si="16"/>
        <v>0</v>
      </c>
      <c r="L22" s="30">
        <f t="shared" si="16"/>
        <v>0</v>
      </c>
      <c r="M22" s="30">
        <f t="shared" si="16"/>
        <v>0</v>
      </c>
      <c r="N22" s="30">
        <f t="shared" si="6"/>
        <v>574</v>
      </c>
      <c r="O22" s="30">
        <f t="shared" si="7"/>
        <v>0</v>
      </c>
      <c r="P22" s="30">
        <f t="shared" si="8"/>
        <v>0</v>
      </c>
      <c r="Q22" s="30">
        <f t="shared" si="9"/>
        <v>0</v>
      </c>
      <c r="R22" s="30">
        <f t="shared" si="9"/>
        <v>0</v>
      </c>
      <c r="S22" s="30">
        <f t="shared" si="10"/>
        <v>0</v>
      </c>
      <c r="T22" s="30">
        <f t="shared" si="11"/>
        <v>0</v>
      </c>
      <c r="U22" s="30">
        <f t="shared" si="12"/>
        <v>0</v>
      </c>
    </row>
    <row r="23" spans="1:21" x14ac:dyDescent="0.2">
      <c r="A23" s="28" t="s">
        <v>33</v>
      </c>
      <c r="B23" s="30">
        <f t="shared" si="4"/>
        <v>2000</v>
      </c>
      <c r="C23" s="30">
        <f t="shared" ref="C23:M23" si="17">C22+C11</f>
        <v>0</v>
      </c>
      <c r="D23" s="30">
        <f t="shared" si="17"/>
        <v>0</v>
      </c>
      <c r="E23" s="30">
        <f t="shared" si="17"/>
        <v>0</v>
      </c>
      <c r="F23" s="30">
        <f t="shared" si="17"/>
        <v>0</v>
      </c>
      <c r="G23" s="30">
        <f t="shared" si="17"/>
        <v>0</v>
      </c>
      <c r="H23" s="30">
        <f t="shared" si="17"/>
        <v>0</v>
      </c>
      <c r="I23" s="30">
        <f t="shared" si="17"/>
        <v>0</v>
      </c>
      <c r="J23" s="30">
        <f t="shared" si="17"/>
        <v>736</v>
      </c>
      <c r="K23" s="30">
        <f t="shared" si="17"/>
        <v>0</v>
      </c>
      <c r="L23" s="30">
        <f t="shared" si="17"/>
        <v>0</v>
      </c>
      <c r="M23" s="30">
        <f t="shared" si="17"/>
        <v>0</v>
      </c>
      <c r="N23" s="30">
        <f t="shared" si="6"/>
        <v>656</v>
      </c>
      <c r="O23" s="30">
        <f t="shared" si="7"/>
        <v>0</v>
      </c>
      <c r="P23" s="30">
        <f t="shared" si="8"/>
        <v>0</v>
      </c>
      <c r="Q23" s="30">
        <f t="shared" si="9"/>
        <v>0</v>
      </c>
      <c r="R23" s="30">
        <f t="shared" si="9"/>
        <v>0</v>
      </c>
      <c r="S23" s="30">
        <f t="shared" si="10"/>
        <v>0</v>
      </c>
      <c r="T23" s="30">
        <f t="shared" si="11"/>
        <v>0</v>
      </c>
      <c r="U23" s="30">
        <f t="shared" si="12"/>
        <v>0</v>
      </c>
    </row>
    <row r="24" spans="1:21" x14ac:dyDescent="0.2">
      <c r="A24" s="28" t="s">
        <v>34</v>
      </c>
      <c r="B24" s="30">
        <f t="shared" si="4"/>
        <v>2250</v>
      </c>
      <c r="C24" s="30">
        <f t="shared" ref="C24:M24" si="18">C23+C12</f>
        <v>0</v>
      </c>
      <c r="D24" s="30">
        <f t="shared" si="18"/>
        <v>0</v>
      </c>
      <c r="E24" s="30">
        <f t="shared" si="18"/>
        <v>0</v>
      </c>
      <c r="F24" s="30">
        <f t="shared" si="18"/>
        <v>0</v>
      </c>
      <c r="G24" s="30">
        <f t="shared" si="18"/>
        <v>0</v>
      </c>
      <c r="H24" s="30">
        <f t="shared" si="18"/>
        <v>0</v>
      </c>
      <c r="I24" s="30">
        <f t="shared" si="18"/>
        <v>0</v>
      </c>
      <c r="J24" s="30">
        <f t="shared" si="18"/>
        <v>828</v>
      </c>
      <c r="K24" s="30">
        <f t="shared" si="18"/>
        <v>0</v>
      </c>
      <c r="L24" s="30">
        <f t="shared" si="18"/>
        <v>0</v>
      </c>
      <c r="M24" s="30">
        <f t="shared" si="18"/>
        <v>0</v>
      </c>
      <c r="N24" s="30">
        <f t="shared" si="6"/>
        <v>742</v>
      </c>
      <c r="O24" s="30">
        <f t="shared" si="7"/>
        <v>0</v>
      </c>
      <c r="P24" s="30">
        <f t="shared" si="8"/>
        <v>0</v>
      </c>
      <c r="Q24" s="30">
        <f t="shared" si="9"/>
        <v>0</v>
      </c>
      <c r="R24" s="30">
        <f t="shared" si="9"/>
        <v>0</v>
      </c>
      <c r="S24" s="30">
        <f t="shared" si="10"/>
        <v>0</v>
      </c>
      <c r="T24" s="30">
        <f t="shared" si="11"/>
        <v>0</v>
      </c>
      <c r="U24" s="30">
        <f t="shared" si="12"/>
        <v>0</v>
      </c>
    </row>
    <row r="25" spans="1:21" x14ac:dyDescent="0.2">
      <c r="A25" s="29" t="s">
        <v>35</v>
      </c>
      <c r="B25" s="31">
        <f t="shared" si="4"/>
        <v>2500</v>
      </c>
      <c r="C25" s="31">
        <f t="shared" ref="C25:M25" si="19">C24+C13</f>
        <v>0</v>
      </c>
      <c r="D25" s="31">
        <f t="shared" si="19"/>
        <v>0</v>
      </c>
      <c r="E25" s="31">
        <f t="shared" si="19"/>
        <v>0</v>
      </c>
      <c r="F25" s="31">
        <f t="shared" si="19"/>
        <v>0</v>
      </c>
      <c r="G25" s="31">
        <f t="shared" si="19"/>
        <v>0</v>
      </c>
      <c r="H25" s="31">
        <f t="shared" si="19"/>
        <v>0</v>
      </c>
      <c r="I25" s="31">
        <f t="shared" si="19"/>
        <v>0</v>
      </c>
      <c r="J25" s="31">
        <f t="shared" si="19"/>
        <v>920</v>
      </c>
      <c r="K25" s="31">
        <f t="shared" si="19"/>
        <v>0</v>
      </c>
      <c r="L25" s="31">
        <f t="shared" si="19"/>
        <v>0</v>
      </c>
      <c r="M25" s="31">
        <f t="shared" si="19"/>
        <v>0</v>
      </c>
      <c r="N25" s="31">
        <f t="shared" si="6"/>
        <v>828</v>
      </c>
      <c r="O25" s="31">
        <f t="shared" si="7"/>
        <v>0</v>
      </c>
      <c r="P25" s="31">
        <f t="shared" si="8"/>
        <v>0</v>
      </c>
      <c r="Q25" s="31">
        <f t="shared" si="9"/>
        <v>0</v>
      </c>
      <c r="R25" s="31">
        <f t="shared" si="9"/>
        <v>0</v>
      </c>
      <c r="S25" s="31">
        <f t="shared" si="10"/>
        <v>0</v>
      </c>
      <c r="T25" s="31">
        <f t="shared" si="11"/>
        <v>0</v>
      </c>
      <c r="U25" s="31">
        <f t="shared" si="12"/>
        <v>0</v>
      </c>
    </row>
    <row r="26" spans="1:21" x14ac:dyDescent="0.2">
      <c r="A26" s="29" t="s">
        <v>36</v>
      </c>
      <c r="B26" s="31">
        <f t="shared" si="4"/>
        <v>2750</v>
      </c>
      <c r="C26" s="31">
        <f t="shared" ref="C26:M26" si="20">C25+C14</f>
        <v>0</v>
      </c>
      <c r="D26" s="31">
        <f t="shared" si="20"/>
        <v>0</v>
      </c>
      <c r="E26" s="31">
        <f t="shared" si="20"/>
        <v>0</v>
      </c>
      <c r="F26" s="31">
        <f t="shared" si="20"/>
        <v>0</v>
      </c>
      <c r="G26" s="31">
        <f t="shared" si="20"/>
        <v>0</v>
      </c>
      <c r="H26" s="31">
        <f t="shared" si="20"/>
        <v>0</v>
      </c>
      <c r="I26" s="31">
        <f t="shared" si="20"/>
        <v>0</v>
      </c>
      <c r="J26" s="31">
        <f t="shared" si="20"/>
        <v>1014</v>
      </c>
      <c r="K26" s="31">
        <f t="shared" si="20"/>
        <v>0</v>
      </c>
      <c r="L26" s="31">
        <f t="shared" si="20"/>
        <v>0</v>
      </c>
      <c r="M26" s="31">
        <f t="shared" si="20"/>
        <v>0</v>
      </c>
      <c r="N26" s="31">
        <f t="shared" si="6"/>
        <v>914</v>
      </c>
      <c r="O26" s="31">
        <f t="shared" si="7"/>
        <v>0</v>
      </c>
      <c r="P26" s="31">
        <f t="shared" si="8"/>
        <v>0</v>
      </c>
      <c r="Q26" s="31">
        <f t="shared" si="9"/>
        <v>0</v>
      </c>
      <c r="R26" s="31">
        <f t="shared" si="9"/>
        <v>0</v>
      </c>
      <c r="S26" s="31">
        <f t="shared" si="10"/>
        <v>0</v>
      </c>
      <c r="T26" s="31">
        <f t="shared" si="11"/>
        <v>0</v>
      </c>
      <c r="U26" s="31">
        <f t="shared" si="12"/>
        <v>0</v>
      </c>
    </row>
    <row r="27" spans="1:21" x14ac:dyDescent="0.2">
      <c r="A27" s="12" t="s">
        <v>15</v>
      </c>
      <c r="B27" s="32">
        <f t="shared" si="4"/>
        <v>3000</v>
      </c>
      <c r="C27" s="32">
        <f t="shared" ref="C27:M27" si="21">C26+C15</f>
        <v>0</v>
      </c>
      <c r="D27" s="32">
        <f t="shared" si="21"/>
        <v>0</v>
      </c>
      <c r="E27" s="32">
        <f t="shared" si="21"/>
        <v>0</v>
      </c>
      <c r="F27" s="32">
        <f t="shared" si="21"/>
        <v>0</v>
      </c>
      <c r="G27" s="32">
        <f t="shared" si="21"/>
        <v>0</v>
      </c>
      <c r="H27" s="32">
        <f t="shared" si="21"/>
        <v>0</v>
      </c>
      <c r="I27" s="32">
        <f t="shared" si="21"/>
        <v>0</v>
      </c>
      <c r="J27" s="32">
        <f t="shared" si="21"/>
        <v>1107</v>
      </c>
      <c r="K27" s="32">
        <f t="shared" si="21"/>
        <v>0</v>
      </c>
      <c r="L27" s="32">
        <f t="shared" si="21"/>
        <v>0</v>
      </c>
      <c r="M27" s="32">
        <f t="shared" si="21"/>
        <v>0</v>
      </c>
      <c r="N27" s="32">
        <f t="shared" si="6"/>
        <v>1000</v>
      </c>
      <c r="O27" s="32">
        <f t="shared" si="7"/>
        <v>0</v>
      </c>
      <c r="P27" s="32">
        <f t="shared" si="8"/>
        <v>0</v>
      </c>
      <c r="Q27" s="32">
        <f t="shared" si="9"/>
        <v>0</v>
      </c>
      <c r="R27" s="32">
        <f t="shared" si="9"/>
        <v>0</v>
      </c>
      <c r="S27" s="32">
        <f t="shared" si="10"/>
        <v>0</v>
      </c>
      <c r="T27" s="32">
        <f t="shared" si="11"/>
        <v>0</v>
      </c>
      <c r="U27" s="32">
        <f t="shared" si="12"/>
        <v>0</v>
      </c>
    </row>
  </sheetData>
  <mergeCells count="7">
    <mergeCell ref="B1:D1"/>
    <mergeCell ref="F1:H1"/>
    <mergeCell ref="G2:I2"/>
    <mergeCell ref="S2:U2"/>
    <mergeCell ref="O2:Q2"/>
    <mergeCell ref="K2:M2"/>
    <mergeCell ref="C2:D2"/>
  </mergeCells>
  <phoneticPr fontId="0" type="noConversion"/>
  <pageMargins left="0" right="0" top="0.39370078740157483" bottom="0" header="0" footer="0"/>
  <pageSetup paperSize="9" scale="7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E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10.5703125" bestFit="1" customWidth="1"/>
    <col min="9" max="9" width="10.5703125" customWidth="1"/>
    <col min="11" max="11" width="9.28515625" bestFit="1" customWidth="1"/>
    <col min="12" max="12" width="10.5703125" bestFit="1" customWidth="1"/>
  </cols>
  <sheetData>
    <row r="1" spans="1:27" x14ac:dyDescent="0.2">
      <c r="A1" s="2"/>
      <c r="B1" s="357"/>
      <c r="C1" s="358"/>
      <c r="D1" s="357"/>
      <c r="E1" s="114"/>
      <c r="F1" s="359" t="s">
        <v>1</v>
      </c>
      <c r="G1" s="358"/>
      <c r="H1" s="358"/>
      <c r="I1" s="20"/>
      <c r="J1" s="19"/>
      <c r="K1" s="24" t="s">
        <v>2</v>
      </c>
      <c r="L1" s="25"/>
      <c r="N1" s="19"/>
      <c r="O1" s="24" t="s">
        <v>185</v>
      </c>
      <c r="P1" s="25"/>
      <c r="S1" t="s">
        <v>193</v>
      </c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26" t="s">
        <v>27</v>
      </c>
      <c r="D3" s="15" t="s">
        <v>26</v>
      </c>
      <c r="E3" s="115" t="s">
        <v>106</v>
      </c>
      <c r="F3" s="9"/>
      <c r="G3" s="26" t="s">
        <v>27</v>
      </c>
      <c r="H3" s="15" t="s">
        <v>26</v>
      </c>
      <c r="I3" s="115" t="s">
        <v>106</v>
      </c>
      <c r="J3" s="8"/>
      <c r="K3" s="26" t="s">
        <v>27</v>
      </c>
      <c r="L3" s="15" t="s">
        <v>26</v>
      </c>
      <c r="M3" s="115" t="s">
        <v>106</v>
      </c>
      <c r="N3" s="8"/>
      <c r="O3" s="26" t="s">
        <v>27</v>
      </c>
      <c r="P3" s="15" t="s">
        <v>26</v>
      </c>
      <c r="Q3" s="115" t="s">
        <v>106</v>
      </c>
    </row>
    <row r="4" spans="1:27" x14ac:dyDescent="0.2">
      <c r="A4" s="1" t="s">
        <v>4</v>
      </c>
      <c r="B4" s="27">
        <v>550</v>
      </c>
      <c r="C4" s="27"/>
      <c r="D4" s="27"/>
      <c r="E4" s="27"/>
      <c r="F4" s="27">
        <v>400</v>
      </c>
      <c r="G4" s="27"/>
      <c r="H4" s="27"/>
      <c r="I4" s="115"/>
      <c r="J4" s="27">
        <v>2250</v>
      </c>
      <c r="K4" s="27"/>
      <c r="L4" s="27"/>
      <c r="M4" s="21"/>
      <c r="N4" s="27">
        <v>1590</v>
      </c>
      <c r="O4" s="27"/>
      <c r="P4" s="27"/>
      <c r="Q4" s="21"/>
    </row>
    <row r="5" spans="1:27" x14ac:dyDescent="0.2">
      <c r="A5" s="1" t="s">
        <v>7</v>
      </c>
      <c r="B5" s="27">
        <v>600</v>
      </c>
      <c r="C5" s="22"/>
      <c r="D5" s="22"/>
      <c r="E5" s="22"/>
      <c r="F5" s="27">
        <v>800</v>
      </c>
      <c r="G5" s="22"/>
      <c r="H5" s="22"/>
      <c r="I5" s="27"/>
      <c r="J5" s="27">
        <v>2250</v>
      </c>
      <c r="K5" s="22"/>
      <c r="L5" s="22"/>
      <c r="M5" s="21"/>
      <c r="N5" s="27">
        <v>1590</v>
      </c>
      <c r="O5" s="22"/>
      <c r="P5" s="22"/>
      <c r="Q5" s="21"/>
    </row>
    <row r="6" spans="1:27" x14ac:dyDescent="0.2">
      <c r="A6" s="1" t="s">
        <v>8</v>
      </c>
      <c r="B6" s="27">
        <v>700</v>
      </c>
      <c r="C6" s="22"/>
      <c r="D6" s="22"/>
      <c r="E6" s="22"/>
      <c r="F6" s="27">
        <v>800</v>
      </c>
      <c r="G6" s="22"/>
      <c r="H6" s="22"/>
      <c r="I6" s="27"/>
      <c r="J6" s="27">
        <v>2250</v>
      </c>
      <c r="K6" s="22"/>
      <c r="L6" s="22"/>
      <c r="M6" s="21"/>
      <c r="N6" s="27">
        <v>1590</v>
      </c>
      <c r="O6" s="22"/>
      <c r="P6" s="22"/>
      <c r="Q6" s="21"/>
    </row>
    <row r="7" spans="1:27" x14ac:dyDescent="0.2">
      <c r="A7" s="1" t="s">
        <v>16</v>
      </c>
      <c r="B7" s="27">
        <v>700</v>
      </c>
      <c r="C7" s="22"/>
      <c r="D7" s="22"/>
      <c r="E7" s="22"/>
      <c r="F7" s="27">
        <v>700</v>
      </c>
      <c r="G7" s="22"/>
      <c r="H7" s="22"/>
      <c r="I7" s="27"/>
      <c r="J7" s="27">
        <v>2250</v>
      </c>
      <c r="K7" s="22"/>
      <c r="L7" s="22"/>
      <c r="M7" s="21"/>
      <c r="N7" s="27">
        <v>1590</v>
      </c>
      <c r="O7" s="22"/>
      <c r="P7" s="22"/>
      <c r="Q7" s="21"/>
    </row>
    <row r="8" spans="1:27" x14ac:dyDescent="0.2">
      <c r="A8" s="1" t="s">
        <v>17</v>
      </c>
      <c r="B8" s="27">
        <v>500</v>
      </c>
      <c r="C8" s="22"/>
      <c r="D8" s="22"/>
      <c r="E8" s="22"/>
      <c r="F8" s="27">
        <v>600</v>
      </c>
      <c r="G8" s="22"/>
      <c r="H8" s="22"/>
      <c r="I8" s="27"/>
      <c r="J8" s="27">
        <v>2250</v>
      </c>
      <c r="K8" s="22"/>
      <c r="L8" s="22"/>
      <c r="M8" s="21"/>
      <c r="N8" s="27">
        <v>1590</v>
      </c>
      <c r="O8" s="22"/>
      <c r="P8" s="22"/>
      <c r="Q8" s="21"/>
    </row>
    <row r="9" spans="1:27" x14ac:dyDescent="0.2">
      <c r="A9" s="1" t="s">
        <v>18</v>
      </c>
      <c r="B9" s="27">
        <v>650</v>
      </c>
      <c r="C9" s="22"/>
      <c r="D9" s="22"/>
      <c r="E9" s="22"/>
      <c r="F9" s="27">
        <v>700</v>
      </c>
      <c r="G9" s="22"/>
      <c r="H9" s="22"/>
      <c r="I9" s="27"/>
      <c r="J9" s="27">
        <v>2250</v>
      </c>
      <c r="K9" s="22"/>
      <c r="L9" s="22"/>
      <c r="M9" s="21"/>
      <c r="N9" s="27">
        <v>1590</v>
      </c>
      <c r="O9" s="22"/>
      <c r="P9" s="22"/>
      <c r="Q9" s="21"/>
    </row>
    <row r="10" spans="1:27" x14ac:dyDescent="0.2">
      <c r="A10" s="82" t="s">
        <v>19</v>
      </c>
      <c r="B10" s="27">
        <v>600</v>
      </c>
      <c r="C10" s="22"/>
      <c r="D10" s="83"/>
      <c r="E10" s="83"/>
      <c r="F10" s="27">
        <v>600</v>
      </c>
      <c r="G10" s="22"/>
      <c r="H10" s="83"/>
      <c r="I10" s="27"/>
      <c r="J10" s="27">
        <v>7251</v>
      </c>
      <c r="K10" s="22"/>
      <c r="L10" s="83"/>
      <c r="M10" s="21"/>
      <c r="N10" s="27">
        <v>228</v>
      </c>
      <c r="O10" s="22"/>
      <c r="P10" s="83"/>
      <c r="Q10" s="21"/>
    </row>
    <row r="11" spans="1:27" x14ac:dyDescent="0.2">
      <c r="A11" s="1" t="s">
        <v>10</v>
      </c>
      <c r="B11" s="27">
        <v>600</v>
      </c>
      <c r="C11" s="22"/>
      <c r="D11" s="22"/>
      <c r="E11" s="22"/>
      <c r="F11" s="27">
        <v>800</v>
      </c>
      <c r="G11" s="22"/>
      <c r="H11" s="22"/>
      <c r="I11" s="27"/>
      <c r="J11" s="27">
        <v>7251</v>
      </c>
      <c r="K11" s="22"/>
      <c r="L11" s="22"/>
      <c r="M11" s="21"/>
      <c r="N11" s="27">
        <v>228</v>
      </c>
      <c r="O11" s="22"/>
      <c r="P11" s="22"/>
      <c r="Q11" s="21"/>
    </row>
    <row r="12" spans="1:27" x14ac:dyDescent="0.2">
      <c r="A12" s="1" t="s">
        <v>11</v>
      </c>
      <c r="B12" s="27">
        <v>500</v>
      </c>
      <c r="C12" s="22"/>
      <c r="D12" s="22"/>
      <c r="E12" s="22"/>
      <c r="F12" s="27">
        <v>600</v>
      </c>
      <c r="G12" s="22"/>
      <c r="H12" s="22"/>
      <c r="I12" s="27"/>
      <c r="J12" s="27">
        <v>7251</v>
      </c>
      <c r="K12" s="22"/>
      <c r="L12" s="22"/>
      <c r="M12" s="21"/>
      <c r="N12" s="27">
        <v>228</v>
      </c>
      <c r="O12" s="22"/>
      <c r="P12" s="22"/>
      <c r="Q12" s="21"/>
    </row>
    <row r="13" spans="1:27" x14ac:dyDescent="0.2">
      <c r="A13" s="1" t="s">
        <v>12</v>
      </c>
      <c r="B13" s="27">
        <v>600</v>
      </c>
      <c r="C13" s="22"/>
      <c r="D13" s="22"/>
      <c r="E13" s="22"/>
      <c r="F13" s="27">
        <v>800</v>
      </c>
      <c r="G13" s="22"/>
      <c r="H13" s="22"/>
      <c r="I13" s="27"/>
      <c r="J13" s="27">
        <v>7251</v>
      </c>
      <c r="K13" s="22"/>
      <c r="L13" s="22"/>
      <c r="M13" s="21"/>
      <c r="N13" s="27">
        <v>228</v>
      </c>
      <c r="O13" s="22"/>
      <c r="P13" s="22"/>
      <c r="Q13" s="21"/>
    </row>
    <row r="14" spans="1:27" x14ac:dyDescent="0.2">
      <c r="A14" s="1" t="s">
        <v>13</v>
      </c>
      <c r="B14" s="27">
        <v>680</v>
      </c>
      <c r="C14" s="22"/>
      <c r="D14" s="22"/>
      <c r="E14" s="22"/>
      <c r="F14" s="27">
        <v>850</v>
      </c>
      <c r="G14" s="22"/>
      <c r="H14" s="22"/>
      <c r="I14" s="27"/>
      <c r="J14" s="27">
        <v>7251</v>
      </c>
      <c r="K14" s="22"/>
      <c r="L14" s="22"/>
      <c r="M14" s="21"/>
      <c r="N14" s="27">
        <v>228</v>
      </c>
      <c r="O14" s="22"/>
      <c r="P14" s="22"/>
      <c r="Q14" s="21"/>
    </row>
    <row r="15" spans="1:27" x14ac:dyDescent="0.2">
      <c r="A15" s="1" t="s">
        <v>14</v>
      </c>
      <c r="B15" s="27">
        <v>680</v>
      </c>
      <c r="C15" s="22"/>
      <c r="D15" s="22"/>
      <c r="E15" s="22"/>
      <c r="F15" s="27">
        <v>850</v>
      </c>
      <c r="G15" s="22"/>
      <c r="H15" s="22"/>
      <c r="I15" s="27"/>
      <c r="J15" s="27">
        <v>7252</v>
      </c>
      <c r="K15" s="22"/>
      <c r="L15" s="22"/>
      <c r="M15" s="21"/>
      <c r="N15" s="27">
        <v>229</v>
      </c>
      <c r="O15" s="22"/>
      <c r="P15" s="22"/>
      <c r="Q15" s="21"/>
    </row>
    <row r="16" spans="1:27" x14ac:dyDescent="0.2">
      <c r="A16" s="1" t="s">
        <v>6</v>
      </c>
      <c r="B16" s="22">
        <f>SUM(B4:B15)</f>
        <v>7360</v>
      </c>
      <c r="C16" s="22">
        <f t="shared" ref="C16:J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8500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57007</v>
      </c>
      <c r="K16" s="22"/>
      <c r="L16" s="22"/>
      <c r="M16" s="22"/>
      <c r="N16" s="22">
        <f>SUM(N4:N15)</f>
        <v>10909</v>
      </c>
      <c r="O16" s="22"/>
      <c r="P16" s="22"/>
      <c r="Q16" s="22"/>
    </row>
    <row r="17" spans="1:17" x14ac:dyDescent="0.2">
      <c r="A17" s="28" t="s">
        <v>28</v>
      </c>
      <c r="B17" s="30">
        <f t="shared" ref="B17:L17" si="1">B4+B5</f>
        <v>1150</v>
      </c>
      <c r="C17" s="30">
        <f t="shared" si="1"/>
        <v>0</v>
      </c>
      <c r="D17" s="30">
        <f t="shared" si="1"/>
        <v>0</v>
      </c>
      <c r="E17" s="30">
        <f>E4+E5</f>
        <v>0</v>
      </c>
      <c r="F17" s="30">
        <f t="shared" si="1"/>
        <v>1200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4500</v>
      </c>
      <c r="K17" s="30">
        <f t="shared" si="1"/>
        <v>0</v>
      </c>
      <c r="L17" s="30">
        <f t="shared" si="1"/>
        <v>0</v>
      </c>
      <c r="M17" s="30">
        <f>M4+M5</f>
        <v>0</v>
      </c>
      <c r="N17" s="30">
        <f>N4+N5</f>
        <v>3180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37</v>
      </c>
      <c r="B18" s="30">
        <f t="shared" ref="B18:Q27" si="2">B17+B6</f>
        <v>1850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2000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6750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4770</v>
      </c>
      <c r="O18" s="30">
        <f t="shared" si="2"/>
        <v>0</v>
      </c>
      <c r="P18" s="30">
        <f t="shared" si="2"/>
        <v>0</v>
      </c>
      <c r="Q18" s="30">
        <f t="shared" si="2"/>
        <v>0</v>
      </c>
    </row>
    <row r="19" spans="1:17" x14ac:dyDescent="0.2">
      <c r="A19" s="28" t="s">
        <v>29</v>
      </c>
      <c r="B19" s="30">
        <f t="shared" si="2"/>
        <v>2550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2700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9000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6360</v>
      </c>
      <c r="O19" s="30">
        <f t="shared" si="2"/>
        <v>0</v>
      </c>
      <c r="P19" s="30">
        <f t="shared" si="2"/>
        <v>0</v>
      </c>
      <c r="Q19" s="30">
        <f t="shared" si="2"/>
        <v>0</v>
      </c>
    </row>
    <row r="20" spans="1:17" x14ac:dyDescent="0.2">
      <c r="A20" s="28" t="s">
        <v>30</v>
      </c>
      <c r="B20" s="30">
        <f t="shared" si="2"/>
        <v>3050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3300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11250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7950</v>
      </c>
      <c r="O20" s="30">
        <f t="shared" si="2"/>
        <v>0</v>
      </c>
      <c r="P20" s="30">
        <f t="shared" si="2"/>
        <v>0</v>
      </c>
      <c r="Q20" s="30">
        <f t="shared" si="2"/>
        <v>0</v>
      </c>
    </row>
    <row r="21" spans="1:17" x14ac:dyDescent="0.2">
      <c r="A21" s="28" t="s">
        <v>31</v>
      </c>
      <c r="B21" s="30">
        <f t="shared" si="2"/>
        <v>3700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4000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13500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9540</v>
      </c>
      <c r="O21" s="30">
        <f t="shared" si="2"/>
        <v>0</v>
      </c>
      <c r="P21" s="30">
        <f t="shared" si="2"/>
        <v>0</v>
      </c>
      <c r="Q21" s="30">
        <f t="shared" si="2"/>
        <v>0</v>
      </c>
    </row>
    <row r="22" spans="1:17" x14ac:dyDescent="0.2">
      <c r="A22" s="28" t="s">
        <v>32</v>
      </c>
      <c r="B22" s="30">
        <f t="shared" si="2"/>
        <v>4300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4600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20751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9768</v>
      </c>
      <c r="O22" s="30">
        <f t="shared" si="2"/>
        <v>0</v>
      </c>
      <c r="P22" s="30">
        <f t="shared" si="2"/>
        <v>0</v>
      </c>
      <c r="Q22" s="30">
        <f t="shared" si="2"/>
        <v>0</v>
      </c>
    </row>
    <row r="23" spans="1:17" x14ac:dyDescent="0.2">
      <c r="A23" s="28" t="s">
        <v>33</v>
      </c>
      <c r="B23" s="30">
        <f t="shared" si="2"/>
        <v>4900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5400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28002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9996</v>
      </c>
      <c r="O23" s="30">
        <f t="shared" si="2"/>
        <v>0</v>
      </c>
      <c r="P23" s="30">
        <f t="shared" si="2"/>
        <v>0</v>
      </c>
      <c r="Q23" s="30">
        <f t="shared" si="2"/>
        <v>0</v>
      </c>
    </row>
    <row r="24" spans="1:17" x14ac:dyDescent="0.2">
      <c r="A24" s="28" t="s">
        <v>34</v>
      </c>
      <c r="B24" s="30">
        <f t="shared" si="2"/>
        <v>5400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6000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35253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10224</v>
      </c>
      <c r="O24" s="30">
        <f t="shared" si="2"/>
        <v>0</v>
      </c>
      <c r="P24" s="30">
        <f t="shared" si="2"/>
        <v>0</v>
      </c>
      <c r="Q24" s="30">
        <f t="shared" si="2"/>
        <v>0</v>
      </c>
    </row>
    <row r="25" spans="1:17" x14ac:dyDescent="0.2">
      <c r="A25" s="29" t="s">
        <v>35</v>
      </c>
      <c r="B25" s="31">
        <f t="shared" si="2"/>
        <v>6000</v>
      </c>
      <c r="C25" s="31">
        <f t="shared" si="2"/>
        <v>0</v>
      </c>
      <c r="D25" s="31">
        <f t="shared" si="2"/>
        <v>0</v>
      </c>
      <c r="E25" s="31">
        <f t="shared" si="2"/>
        <v>0</v>
      </c>
      <c r="F25" s="31">
        <f t="shared" si="2"/>
        <v>6800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42504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10452</v>
      </c>
      <c r="O25" s="31">
        <f t="shared" si="2"/>
        <v>0</v>
      </c>
      <c r="P25" s="31">
        <f t="shared" si="2"/>
        <v>0</v>
      </c>
      <c r="Q25" s="31">
        <f t="shared" si="2"/>
        <v>0</v>
      </c>
    </row>
    <row r="26" spans="1:17" x14ac:dyDescent="0.2">
      <c r="A26" s="29" t="s">
        <v>36</v>
      </c>
      <c r="B26" s="31">
        <f t="shared" si="2"/>
        <v>6680</v>
      </c>
      <c r="C26" s="31">
        <f t="shared" si="2"/>
        <v>0</v>
      </c>
      <c r="D26" s="31">
        <f t="shared" si="2"/>
        <v>0</v>
      </c>
      <c r="E26" s="31">
        <f t="shared" si="2"/>
        <v>0</v>
      </c>
      <c r="F26" s="31">
        <f t="shared" si="2"/>
        <v>7650</v>
      </c>
      <c r="G26" s="31">
        <f t="shared" si="2"/>
        <v>0</v>
      </c>
      <c r="H26" s="31">
        <f t="shared" si="2"/>
        <v>0</v>
      </c>
      <c r="I26" s="31">
        <f t="shared" si="2"/>
        <v>0</v>
      </c>
      <c r="J26" s="31">
        <f t="shared" si="2"/>
        <v>49755</v>
      </c>
      <c r="K26" s="31">
        <f t="shared" si="2"/>
        <v>0</v>
      </c>
      <c r="L26" s="31">
        <f t="shared" si="2"/>
        <v>0</v>
      </c>
      <c r="M26" s="31">
        <f t="shared" si="2"/>
        <v>0</v>
      </c>
      <c r="N26" s="31">
        <f t="shared" si="2"/>
        <v>10680</v>
      </c>
      <c r="O26" s="31">
        <f t="shared" si="2"/>
        <v>0</v>
      </c>
      <c r="P26" s="31">
        <f t="shared" si="2"/>
        <v>0</v>
      </c>
      <c r="Q26" s="31">
        <f t="shared" si="2"/>
        <v>0</v>
      </c>
    </row>
    <row r="27" spans="1:17" x14ac:dyDescent="0.2">
      <c r="A27" s="12" t="s">
        <v>15</v>
      </c>
      <c r="B27" s="32">
        <f t="shared" si="2"/>
        <v>7360</v>
      </c>
      <c r="C27" s="32">
        <f t="shared" si="2"/>
        <v>0</v>
      </c>
      <c r="D27" s="32">
        <f t="shared" si="2"/>
        <v>0</v>
      </c>
      <c r="E27" s="32">
        <f t="shared" si="2"/>
        <v>0</v>
      </c>
      <c r="F27" s="32">
        <f t="shared" si="2"/>
        <v>8500</v>
      </c>
      <c r="G27" s="32">
        <f t="shared" si="2"/>
        <v>0</v>
      </c>
      <c r="H27" s="32">
        <f t="shared" si="2"/>
        <v>0</v>
      </c>
      <c r="I27" s="32">
        <f t="shared" si="2"/>
        <v>0</v>
      </c>
      <c r="J27" s="32">
        <f t="shared" si="2"/>
        <v>57007</v>
      </c>
      <c r="K27" s="32">
        <f t="shared" si="2"/>
        <v>0</v>
      </c>
      <c r="L27" s="32">
        <f t="shared" si="2"/>
        <v>0</v>
      </c>
      <c r="M27" s="32">
        <f t="shared" si="2"/>
        <v>0</v>
      </c>
      <c r="N27" s="32">
        <f t="shared" si="2"/>
        <v>10909</v>
      </c>
      <c r="O27" s="32">
        <f t="shared" si="2"/>
        <v>0</v>
      </c>
      <c r="P27" s="32">
        <f t="shared" si="2"/>
        <v>0</v>
      </c>
      <c r="Q27" s="32">
        <f t="shared" si="2"/>
        <v>0</v>
      </c>
    </row>
  </sheetData>
  <mergeCells count="6">
    <mergeCell ref="O2:Q2"/>
    <mergeCell ref="K2:M2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6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selection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10.5703125" hidden="1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9" x14ac:dyDescent="0.2">
      <c r="A1" s="2"/>
      <c r="B1" s="365" t="s">
        <v>0</v>
      </c>
      <c r="C1" s="365"/>
      <c r="D1" s="365"/>
      <c r="E1" s="117"/>
      <c r="F1" s="359" t="s">
        <v>1</v>
      </c>
      <c r="G1" s="358"/>
      <c r="H1" s="358"/>
      <c r="I1" s="362"/>
      <c r="J1" s="19"/>
      <c r="K1" s="366" t="s">
        <v>2</v>
      </c>
      <c r="L1" s="365"/>
      <c r="M1" s="365"/>
      <c r="N1" s="19"/>
      <c r="O1" s="366" t="s">
        <v>192</v>
      </c>
      <c r="P1" s="365"/>
      <c r="Q1" s="365"/>
      <c r="R1" s="19"/>
      <c r="S1" s="366" t="s">
        <v>193</v>
      </c>
      <c r="T1" s="365"/>
      <c r="U1" s="365"/>
      <c r="V1" s="19"/>
      <c r="W1" s="366" t="s">
        <v>173</v>
      </c>
      <c r="X1" s="365"/>
      <c r="Y1" s="365"/>
      <c r="Z1" s="19"/>
      <c r="AA1" s="366" t="s">
        <v>173</v>
      </c>
      <c r="AB1" s="365"/>
      <c r="AC1" s="365"/>
    </row>
    <row r="2" spans="1:29" x14ac:dyDescent="0.2">
      <c r="A2" s="3" t="s">
        <v>3</v>
      </c>
      <c r="B2" s="6" t="s">
        <v>6</v>
      </c>
      <c r="C2" s="366" t="s">
        <v>25</v>
      </c>
      <c r="D2" s="371"/>
      <c r="E2" s="123"/>
      <c r="F2" s="6" t="s">
        <v>6</v>
      </c>
      <c r="G2" s="359" t="s">
        <v>25</v>
      </c>
      <c r="H2" s="358"/>
      <c r="I2" s="358"/>
      <c r="J2" s="7" t="s">
        <v>6</v>
      </c>
      <c r="K2" s="359" t="s">
        <v>25</v>
      </c>
      <c r="L2" s="358"/>
      <c r="M2" s="362"/>
      <c r="N2" s="7" t="s">
        <v>6</v>
      </c>
      <c r="O2" s="359" t="s">
        <v>25</v>
      </c>
      <c r="P2" s="358"/>
      <c r="Q2" s="362"/>
      <c r="R2" s="7" t="s">
        <v>6</v>
      </c>
      <c r="S2" s="359" t="s">
        <v>25</v>
      </c>
      <c r="T2" s="358"/>
      <c r="U2" s="362"/>
      <c r="V2" s="7" t="s">
        <v>6</v>
      </c>
      <c r="W2" s="359" t="s">
        <v>25</v>
      </c>
      <c r="X2" s="358"/>
      <c r="Y2" s="362"/>
      <c r="Z2" s="7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 t="s">
        <v>105</v>
      </c>
      <c r="J3" s="7"/>
      <c r="K3" s="15" t="s">
        <v>27</v>
      </c>
      <c r="L3" s="15" t="s">
        <v>26</v>
      </c>
      <c r="M3" s="117" t="s">
        <v>105</v>
      </c>
      <c r="N3" s="7"/>
      <c r="O3" s="15" t="s">
        <v>27</v>
      </c>
      <c r="P3" s="15" t="s">
        <v>26</v>
      </c>
      <c r="Q3" s="117" t="s">
        <v>105</v>
      </c>
      <c r="R3" s="7"/>
      <c r="S3" s="15" t="s">
        <v>27</v>
      </c>
      <c r="T3" s="15" t="s">
        <v>26</v>
      </c>
      <c r="U3" s="117" t="s">
        <v>105</v>
      </c>
      <c r="V3" s="7"/>
      <c r="W3" s="15" t="s">
        <v>27</v>
      </c>
      <c r="X3" s="15" t="s">
        <v>26</v>
      </c>
      <c r="Y3" s="117" t="s">
        <v>105</v>
      </c>
      <c r="Z3" s="7"/>
      <c r="AA3" s="15" t="s">
        <v>27</v>
      </c>
      <c r="AB3" s="15" t="s">
        <v>26</v>
      </c>
      <c r="AC3" s="117" t="s">
        <v>105</v>
      </c>
    </row>
    <row r="4" spans="1:29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v>300</v>
      </c>
      <c r="G4" s="22"/>
      <c r="H4" s="22"/>
      <c r="I4" s="22"/>
      <c r="J4" s="22">
        <v>384</v>
      </c>
      <c r="K4" s="22"/>
      <c r="L4" s="22"/>
      <c r="M4" s="21"/>
      <c r="N4" s="22">
        <v>462</v>
      </c>
      <c r="O4" s="22"/>
      <c r="P4" s="22"/>
      <c r="Q4" s="21"/>
      <c r="R4" s="22"/>
      <c r="S4" s="22"/>
      <c r="T4" s="22"/>
      <c r="U4" s="21"/>
      <c r="V4" s="22"/>
      <c r="W4" s="22"/>
      <c r="X4" s="22"/>
      <c r="Y4" s="21"/>
      <c r="Z4" s="22"/>
      <c r="AA4" s="22"/>
      <c r="AB4" s="22"/>
      <c r="AC4" s="21"/>
    </row>
    <row r="5" spans="1:29" x14ac:dyDescent="0.2">
      <c r="A5" s="1" t="s">
        <v>7</v>
      </c>
      <c r="B5" s="22">
        <f t="shared" si="0"/>
        <v>0</v>
      </c>
      <c r="C5" s="22"/>
      <c r="D5" s="22"/>
      <c r="E5" s="22"/>
      <c r="F5" s="22">
        <v>420</v>
      </c>
      <c r="G5" s="22"/>
      <c r="H5" s="22"/>
      <c r="I5" s="22"/>
      <c r="J5" s="22">
        <v>491</v>
      </c>
      <c r="K5" s="22"/>
      <c r="L5" s="22"/>
      <c r="M5" s="21"/>
      <c r="N5" s="22">
        <v>589</v>
      </c>
      <c r="O5" s="22"/>
      <c r="P5" s="22"/>
      <c r="Q5" s="21"/>
      <c r="R5" s="22"/>
      <c r="S5" s="22"/>
      <c r="T5" s="22"/>
      <c r="U5" s="21"/>
      <c r="V5" s="22"/>
      <c r="W5" s="22"/>
      <c r="X5" s="22"/>
      <c r="Y5" s="21"/>
      <c r="Z5" s="22"/>
      <c r="AA5" s="22"/>
      <c r="AB5" s="22"/>
      <c r="AC5" s="21"/>
    </row>
    <row r="6" spans="1:29" x14ac:dyDescent="0.2">
      <c r="A6" s="1" t="s">
        <v>8</v>
      </c>
      <c r="B6" s="22">
        <f t="shared" si="0"/>
        <v>0</v>
      </c>
      <c r="C6" s="22"/>
      <c r="D6" s="22"/>
      <c r="E6" s="22"/>
      <c r="F6" s="22">
        <v>440</v>
      </c>
      <c r="G6" s="22"/>
      <c r="H6" s="22"/>
      <c r="I6" s="22"/>
      <c r="J6" s="22">
        <v>695</v>
      </c>
      <c r="K6" s="22"/>
      <c r="L6" s="22"/>
      <c r="M6" s="21"/>
      <c r="N6" s="22">
        <v>835</v>
      </c>
      <c r="O6" s="22"/>
      <c r="P6" s="22"/>
      <c r="Q6" s="21"/>
      <c r="R6" s="22"/>
      <c r="S6" s="22"/>
      <c r="T6" s="22"/>
      <c r="U6" s="21"/>
      <c r="V6" s="22"/>
      <c r="W6" s="22"/>
      <c r="X6" s="22"/>
      <c r="Y6" s="21"/>
      <c r="Z6" s="22"/>
      <c r="AA6" s="22"/>
      <c r="AB6" s="22"/>
      <c r="AC6" s="21"/>
    </row>
    <row r="7" spans="1:29" x14ac:dyDescent="0.2">
      <c r="A7" s="1" t="s">
        <v>16</v>
      </c>
      <c r="B7" s="22">
        <f t="shared" si="0"/>
        <v>0</v>
      </c>
      <c r="C7" s="22"/>
      <c r="D7" s="22"/>
      <c r="E7" s="22"/>
      <c r="F7" s="22">
        <v>440</v>
      </c>
      <c r="G7" s="22"/>
      <c r="H7" s="22"/>
      <c r="I7" s="22"/>
      <c r="J7" s="22">
        <v>498</v>
      </c>
      <c r="K7" s="22"/>
      <c r="L7" s="22"/>
      <c r="M7" s="21"/>
      <c r="N7" s="22">
        <v>597</v>
      </c>
      <c r="O7" s="22"/>
      <c r="P7" s="22"/>
      <c r="Q7" s="21"/>
      <c r="R7" s="22"/>
      <c r="S7" s="22"/>
      <c r="T7" s="22"/>
      <c r="U7" s="21"/>
      <c r="V7" s="22"/>
      <c r="W7" s="22"/>
      <c r="X7" s="22"/>
      <c r="Y7" s="21"/>
      <c r="Z7" s="22"/>
      <c r="AA7" s="22"/>
      <c r="AB7" s="22"/>
      <c r="AC7" s="21"/>
    </row>
    <row r="8" spans="1:29" x14ac:dyDescent="0.2">
      <c r="A8" s="1" t="s">
        <v>17</v>
      </c>
      <c r="B8" s="22">
        <f t="shared" si="0"/>
        <v>0</v>
      </c>
      <c r="C8" s="22"/>
      <c r="D8" s="22"/>
      <c r="E8" s="22"/>
      <c r="F8" s="22">
        <v>340</v>
      </c>
      <c r="G8" s="22"/>
      <c r="H8" s="22"/>
      <c r="I8" s="22"/>
      <c r="J8" s="22">
        <v>402</v>
      </c>
      <c r="K8" s="22"/>
      <c r="L8" s="22"/>
      <c r="M8" s="21"/>
      <c r="N8" s="22">
        <v>486</v>
      </c>
      <c r="O8" s="22"/>
      <c r="P8" s="22"/>
      <c r="Q8" s="21"/>
      <c r="R8" s="22"/>
      <c r="S8" s="22"/>
      <c r="T8" s="22"/>
      <c r="U8" s="21"/>
      <c r="V8" s="22"/>
      <c r="W8" s="22"/>
      <c r="X8" s="22"/>
      <c r="Y8" s="21"/>
      <c r="Z8" s="22"/>
      <c r="AA8" s="22"/>
      <c r="AB8" s="22"/>
      <c r="AC8" s="21"/>
    </row>
    <row r="9" spans="1:29" x14ac:dyDescent="0.2">
      <c r="A9" s="1" t="s">
        <v>18</v>
      </c>
      <c r="B9" s="22">
        <f t="shared" si="0"/>
        <v>0</v>
      </c>
      <c r="C9" s="22"/>
      <c r="D9" s="22"/>
      <c r="E9" s="22"/>
      <c r="F9" s="22">
        <v>420</v>
      </c>
      <c r="G9" s="22"/>
      <c r="H9" s="22"/>
      <c r="I9" s="22"/>
      <c r="J9" s="22">
        <v>520</v>
      </c>
      <c r="K9" s="22"/>
      <c r="L9" s="22"/>
      <c r="M9" s="21"/>
      <c r="N9" s="22">
        <v>631</v>
      </c>
      <c r="O9" s="22"/>
      <c r="P9" s="22"/>
      <c r="Q9" s="21"/>
      <c r="R9" s="22"/>
      <c r="S9" s="22"/>
      <c r="T9" s="22"/>
      <c r="U9" s="21"/>
      <c r="V9" s="22"/>
      <c r="W9" s="22"/>
      <c r="X9" s="22"/>
      <c r="Y9" s="21"/>
      <c r="Z9" s="22"/>
      <c r="AA9" s="22"/>
      <c r="AB9" s="22"/>
      <c r="AC9" s="21"/>
    </row>
    <row r="10" spans="1:29" x14ac:dyDescent="0.2">
      <c r="A10" s="82" t="s">
        <v>19</v>
      </c>
      <c r="B10" s="104">
        <f t="shared" si="0"/>
        <v>0</v>
      </c>
      <c r="C10" s="84"/>
      <c r="D10" s="84"/>
      <c r="E10" s="84"/>
      <c r="F10" s="22">
        <v>440</v>
      </c>
      <c r="G10" s="22"/>
      <c r="H10" s="22"/>
      <c r="I10" s="22"/>
      <c r="J10" s="22">
        <v>875</v>
      </c>
      <c r="K10" s="104"/>
      <c r="L10" s="83"/>
      <c r="M10" s="21"/>
      <c r="N10" s="22">
        <v>599</v>
      </c>
      <c r="O10" s="104"/>
      <c r="P10" s="83"/>
      <c r="Q10" s="21"/>
      <c r="R10" s="22"/>
      <c r="S10" s="104"/>
      <c r="T10" s="83"/>
      <c r="U10" s="21"/>
      <c r="V10" s="22"/>
      <c r="W10" s="104"/>
      <c r="X10" s="83"/>
      <c r="Y10" s="21"/>
      <c r="Z10" s="22"/>
      <c r="AA10" s="104"/>
      <c r="AB10" s="83"/>
      <c r="AC10" s="21"/>
    </row>
    <row r="11" spans="1:29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v>440</v>
      </c>
      <c r="G11" s="22"/>
      <c r="H11" s="22"/>
      <c r="I11" s="22"/>
      <c r="J11" s="22">
        <v>875</v>
      </c>
      <c r="K11" s="83"/>
      <c r="L11" s="22"/>
      <c r="M11" s="21"/>
      <c r="N11" s="22">
        <v>599</v>
      </c>
      <c r="O11" s="83"/>
      <c r="P11" s="22"/>
      <c r="Q11" s="21"/>
      <c r="R11" s="22"/>
      <c r="S11" s="83"/>
      <c r="T11" s="22"/>
      <c r="U11" s="21"/>
      <c r="V11" s="22"/>
      <c r="W11" s="83"/>
      <c r="X11" s="22"/>
      <c r="Y11" s="21"/>
      <c r="Z11" s="22"/>
      <c r="AA11" s="83"/>
      <c r="AB11" s="22"/>
      <c r="AC11" s="21"/>
    </row>
    <row r="12" spans="1:29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v>420</v>
      </c>
      <c r="G12" s="22"/>
      <c r="H12" s="22"/>
      <c r="I12" s="22"/>
      <c r="J12" s="22">
        <v>875</v>
      </c>
      <c r="K12" s="22"/>
      <c r="L12" s="22"/>
      <c r="M12" s="21"/>
      <c r="N12" s="22">
        <v>601</v>
      </c>
      <c r="O12" s="22"/>
      <c r="P12" s="22"/>
      <c r="Q12" s="21"/>
      <c r="R12" s="22"/>
      <c r="S12" s="22"/>
      <c r="T12" s="22"/>
      <c r="U12" s="21"/>
      <c r="V12" s="22"/>
      <c r="W12" s="22"/>
      <c r="X12" s="22"/>
      <c r="Y12" s="21"/>
      <c r="Z12" s="22"/>
      <c r="AA12" s="22"/>
      <c r="AB12" s="22"/>
      <c r="AC12" s="21"/>
    </row>
    <row r="13" spans="1:29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v>440</v>
      </c>
      <c r="G13" s="22"/>
      <c r="H13" s="22"/>
      <c r="I13" s="22"/>
      <c r="J13" s="22">
        <v>875</v>
      </c>
      <c r="K13" s="22"/>
      <c r="L13" s="22"/>
      <c r="M13" s="21"/>
      <c r="N13" s="22">
        <v>601</v>
      </c>
      <c r="O13" s="22"/>
      <c r="P13" s="22"/>
      <c r="Q13" s="21"/>
      <c r="R13" s="22"/>
      <c r="S13" s="22"/>
      <c r="T13" s="22"/>
      <c r="U13" s="21"/>
      <c r="V13" s="22"/>
      <c r="W13" s="22"/>
      <c r="X13" s="22"/>
      <c r="Y13" s="21"/>
      <c r="Z13" s="22"/>
      <c r="AA13" s="22"/>
      <c r="AB13" s="22"/>
      <c r="AC13" s="21"/>
    </row>
    <row r="14" spans="1:29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v>450</v>
      </c>
      <c r="G14" s="22"/>
      <c r="H14" s="22"/>
      <c r="I14" s="22"/>
      <c r="J14" s="22">
        <v>875</v>
      </c>
      <c r="K14" s="22"/>
      <c r="L14" s="22"/>
      <c r="M14" s="21"/>
      <c r="N14" s="22">
        <v>601</v>
      </c>
      <c r="O14" s="22"/>
      <c r="P14" s="22"/>
      <c r="Q14" s="21"/>
      <c r="R14" s="22"/>
      <c r="S14" s="22"/>
      <c r="T14" s="22"/>
      <c r="U14" s="21"/>
      <c r="V14" s="22"/>
      <c r="W14" s="22"/>
      <c r="X14" s="22"/>
      <c r="Y14" s="21"/>
      <c r="Z14" s="22"/>
      <c r="AA14" s="22"/>
      <c r="AB14" s="22"/>
      <c r="AC14" s="21"/>
    </row>
    <row r="15" spans="1:29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v>450</v>
      </c>
      <c r="G15" s="22"/>
      <c r="H15" s="22"/>
      <c r="I15" s="22"/>
      <c r="J15" s="22">
        <v>867</v>
      </c>
      <c r="K15" s="22"/>
      <c r="L15" s="22"/>
      <c r="M15" s="21"/>
      <c r="N15" s="22">
        <v>599</v>
      </c>
      <c r="O15" s="22"/>
      <c r="P15" s="22"/>
      <c r="Q15" s="21"/>
      <c r="R15" s="22"/>
      <c r="S15" s="22"/>
      <c r="T15" s="22"/>
      <c r="U15" s="21"/>
      <c r="V15" s="22"/>
      <c r="W15" s="22"/>
      <c r="X15" s="22"/>
      <c r="Y15" s="21"/>
      <c r="Z15" s="22"/>
      <c r="AA15" s="22"/>
      <c r="AB15" s="22"/>
      <c r="AC15" s="21"/>
    </row>
    <row r="16" spans="1:29" x14ac:dyDescent="0.2">
      <c r="A16" s="1" t="s">
        <v>6</v>
      </c>
      <c r="B16" s="22">
        <f>SUM(B4:B15)</f>
        <v>0</v>
      </c>
      <c r="C16" s="22">
        <f t="shared" ref="C16:M16" si="1">SUM(C4:C15)</f>
        <v>0</v>
      </c>
      <c r="D16" s="22">
        <f t="shared" si="1"/>
        <v>0</v>
      </c>
      <c r="E16" s="22"/>
      <c r="F16" s="22">
        <f t="shared" si="1"/>
        <v>5000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8232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ref="N16:AC16" si="2">SUM(N4:N15)</f>
        <v>7200</v>
      </c>
      <c r="O16" s="22">
        <f t="shared" si="2"/>
        <v>0</v>
      </c>
      <c r="P16" s="22">
        <f t="shared" si="2"/>
        <v>0</v>
      </c>
      <c r="Q16" s="22">
        <f t="shared" si="2"/>
        <v>0</v>
      </c>
      <c r="R16" s="22">
        <f t="shared" si="2"/>
        <v>0</v>
      </c>
      <c r="S16" s="22">
        <f t="shared" si="2"/>
        <v>0</v>
      </c>
      <c r="T16" s="22">
        <f t="shared" si="2"/>
        <v>0</v>
      </c>
      <c r="U16" s="22">
        <f t="shared" si="2"/>
        <v>0</v>
      </c>
      <c r="V16" s="22">
        <f t="shared" si="2"/>
        <v>0</v>
      </c>
      <c r="W16" s="22">
        <f t="shared" si="2"/>
        <v>0</v>
      </c>
      <c r="X16" s="22">
        <f t="shared" si="2"/>
        <v>0</v>
      </c>
      <c r="Y16" s="22">
        <f t="shared" si="2"/>
        <v>0</v>
      </c>
      <c r="Z16" s="22">
        <f t="shared" si="2"/>
        <v>0</v>
      </c>
      <c r="AA16" s="22">
        <f t="shared" si="2"/>
        <v>0</v>
      </c>
      <c r="AB16" s="22">
        <f t="shared" si="2"/>
        <v>0</v>
      </c>
      <c r="AC16" s="22">
        <f t="shared" si="2"/>
        <v>0</v>
      </c>
    </row>
    <row r="17" spans="1:29" x14ac:dyDescent="0.2">
      <c r="A17" s="28" t="s">
        <v>28</v>
      </c>
      <c r="B17" s="30">
        <f t="shared" ref="B17:L17" si="3">B4+B5</f>
        <v>0</v>
      </c>
      <c r="C17" s="30">
        <f t="shared" si="3"/>
        <v>0</v>
      </c>
      <c r="D17" s="30">
        <f t="shared" si="3"/>
        <v>0</v>
      </c>
      <c r="E17" s="30"/>
      <c r="F17" s="30">
        <f t="shared" si="3"/>
        <v>720</v>
      </c>
      <c r="G17" s="30">
        <f t="shared" si="3"/>
        <v>0</v>
      </c>
      <c r="H17" s="30">
        <f t="shared" si="3"/>
        <v>0</v>
      </c>
      <c r="I17" s="30">
        <f>I4+I5</f>
        <v>0</v>
      </c>
      <c r="J17" s="30">
        <f t="shared" si="3"/>
        <v>875</v>
      </c>
      <c r="K17" s="30">
        <f t="shared" si="3"/>
        <v>0</v>
      </c>
      <c r="L17" s="30">
        <f t="shared" si="3"/>
        <v>0</v>
      </c>
      <c r="M17" s="30">
        <f t="shared" ref="M17:AC17" si="4">M4+M5</f>
        <v>0</v>
      </c>
      <c r="N17" s="30">
        <f t="shared" si="4"/>
        <v>1051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4"/>
        <v>0</v>
      </c>
      <c r="S17" s="30">
        <f t="shared" si="4"/>
        <v>0</v>
      </c>
      <c r="T17" s="30">
        <f t="shared" si="4"/>
        <v>0</v>
      </c>
      <c r="U17" s="30">
        <f t="shared" si="4"/>
        <v>0</v>
      </c>
      <c r="V17" s="30">
        <f t="shared" si="4"/>
        <v>0</v>
      </c>
      <c r="W17" s="30">
        <f t="shared" si="4"/>
        <v>0</v>
      </c>
      <c r="X17" s="30">
        <f t="shared" si="4"/>
        <v>0</v>
      </c>
      <c r="Y17" s="30">
        <f t="shared" si="4"/>
        <v>0</v>
      </c>
      <c r="Z17" s="30">
        <f t="shared" si="4"/>
        <v>0</v>
      </c>
      <c r="AA17" s="30">
        <f t="shared" si="4"/>
        <v>0</v>
      </c>
      <c r="AB17" s="30">
        <f t="shared" si="4"/>
        <v>0</v>
      </c>
      <c r="AC17" s="30">
        <f t="shared" si="4"/>
        <v>0</v>
      </c>
    </row>
    <row r="18" spans="1:29" x14ac:dyDescent="0.2">
      <c r="A18" s="28" t="s">
        <v>96</v>
      </c>
      <c r="B18" s="30">
        <f t="shared" ref="B18:B27" si="5">B17+B6</f>
        <v>0</v>
      </c>
      <c r="C18" s="30">
        <f t="shared" ref="C18:C27" si="6">C17+C6</f>
        <v>0</v>
      </c>
      <c r="D18" s="30">
        <f t="shared" ref="D18:D27" si="7">D17+D6</f>
        <v>0</v>
      </c>
      <c r="E18" s="30"/>
      <c r="F18" s="30">
        <f t="shared" ref="F18:F27" si="8">F17+F6</f>
        <v>1160</v>
      </c>
      <c r="G18" s="30">
        <f t="shared" ref="G18:G27" si="9">G17+G6</f>
        <v>0</v>
      </c>
      <c r="H18" s="30">
        <f t="shared" ref="H18:I27" si="10">H17+H6</f>
        <v>0</v>
      </c>
      <c r="I18" s="30">
        <f t="shared" si="10"/>
        <v>0</v>
      </c>
      <c r="J18" s="30">
        <f t="shared" ref="J18:J27" si="11">J17+J6</f>
        <v>1570</v>
      </c>
      <c r="K18" s="30">
        <f t="shared" ref="K18:K27" si="12">K17+K6</f>
        <v>0</v>
      </c>
      <c r="L18" s="30">
        <f t="shared" ref="L18:M27" si="13">L17+L6</f>
        <v>0</v>
      </c>
      <c r="M18" s="30">
        <f t="shared" si="13"/>
        <v>0</v>
      </c>
      <c r="N18" s="30">
        <f t="shared" ref="N18:N27" si="14">N17+N6</f>
        <v>1886</v>
      </c>
      <c r="O18" s="30">
        <f t="shared" ref="O18:O27" si="15">O17+O6</f>
        <v>0</v>
      </c>
      <c r="P18" s="30">
        <f t="shared" ref="P18:P27" si="16">P17+P6</f>
        <v>0</v>
      </c>
      <c r="Q18" s="30">
        <f t="shared" ref="Q18:Q27" si="17">Q17+Q6</f>
        <v>0</v>
      </c>
      <c r="R18" s="30">
        <f t="shared" ref="R18:R27" si="18">R17+R6</f>
        <v>0</v>
      </c>
      <c r="S18" s="30">
        <f t="shared" ref="S18:S27" si="19">S17+S6</f>
        <v>0</v>
      </c>
      <c r="T18" s="30">
        <f t="shared" ref="T18:T27" si="20">T17+T6</f>
        <v>0</v>
      </c>
      <c r="U18" s="30">
        <f t="shared" ref="U18:U27" si="21">U17+U6</f>
        <v>0</v>
      </c>
      <c r="V18" s="30">
        <f t="shared" ref="V18:V27" si="22">V17+V6</f>
        <v>0</v>
      </c>
      <c r="W18" s="30">
        <f t="shared" ref="W18:W27" si="23">W17+W6</f>
        <v>0</v>
      </c>
      <c r="X18" s="30">
        <f t="shared" ref="X18:X27" si="24">X17+X6</f>
        <v>0</v>
      </c>
      <c r="Y18" s="30">
        <f t="shared" ref="Y18:Y27" si="25">Y17+Y6</f>
        <v>0</v>
      </c>
      <c r="Z18" s="30">
        <f t="shared" ref="Z18:Z27" si="26">Z17+Z6</f>
        <v>0</v>
      </c>
      <c r="AA18" s="30">
        <f t="shared" ref="AA18:AA27" si="27">AA17+AA6</f>
        <v>0</v>
      </c>
      <c r="AB18" s="30">
        <f t="shared" ref="AB18:AB27" si="28">AB17+AB6</f>
        <v>0</v>
      </c>
      <c r="AC18" s="30">
        <f t="shared" ref="AC18:AC27" si="29">AC17+AC6</f>
        <v>0</v>
      </c>
    </row>
    <row r="19" spans="1:29" x14ac:dyDescent="0.2">
      <c r="A19" s="28" t="s">
        <v>29</v>
      </c>
      <c r="B19" s="30">
        <f t="shared" si="5"/>
        <v>0</v>
      </c>
      <c r="C19" s="30">
        <f t="shared" si="6"/>
        <v>0</v>
      </c>
      <c r="D19" s="30">
        <f t="shared" si="7"/>
        <v>0</v>
      </c>
      <c r="E19" s="30"/>
      <c r="F19" s="30">
        <f t="shared" si="8"/>
        <v>1600</v>
      </c>
      <c r="G19" s="30">
        <f t="shared" si="9"/>
        <v>0</v>
      </c>
      <c r="H19" s="30">
        <f t="shared" si="10"/>
        <v>0</v>
      </c>
      <c r="I19" s="30">
        <f t="shared" si="10"/>
        <v>0</v>
      </c>
      <c r="J19" s="30">
        <f t="shared" si="11"/>
        <v>2068</v>
      </c>
      <c r="K19" s="30">
        <f t="shared" si="12"/>
        <v>0</v>
      </c>
      <c r="L19" s="30">
        <f t="shared" si="13"/>
        <v>0</v>
      </c>
      <c r="M19" s="30">
        <f t="shared" si="13"/>
        <v>0</v>
      </c>
      <c r="N19" s="30">
        <f t="shared" si="14"/>
        <v>2483</v>
      </c>
      <c r="O19" s="30">
        <f t="shared" si="15"/>
        <v>0</v>
      </c>
      <c r="P19" s="30">
        <f t="shared" si="16"/>
        <v>0</v>
      </c>
      <c r="Q19" s="30">
        <f t="shared" si="17"/>
        <v>0</v>
      </c>
      <c r="R19" s="30">
        <f t="shared" si="18"/>
        <v>0</v>
      </c>
      <c r="S19" s="30">
        <f t="shared" si="19"/>
        <v>0</v>
      </c>
      <c r="T19" s="30">
        <f t="shared" si="20"/>
        <v>0</v>
      </c>
      <c r="U19" s="30">
        <f t="shared" si="21"/>
        <v>0</v>
      </c>
      <c r="V19" s="30">
        <f t="shared" si="22"/>
        <v>0</v>
      </c>
      <c r="W19" s="30">
        <f t="shared" si="23"/>
        <v>0</v>
      </c>
      <c r="X19" s="30">
        <f t="shared" si="24"/>
        <v>0</v>
      </c>
      <c r="Y19" s="30">
        <f t="shared" si="25"/>
        <v>0</v>
      </c>
      <c r="Z19" s="30">
        <f t="shared" si="26"/>
        <v>0</v>
      </c>
      <c r="AA19" s="30">
        <f t="shared" si="27"/>
        <v>0</v>
      </c>
      <c r="AB19" s="30">
        <f t="shared" si="28"/>
        <v>0</v>
      </c>
      <c r="AC19" s="30">
        <f t="shared" si="29"/>
        <v>0</v>
      </c>
    </row>
    <row r="20" spans="1:29" x14ac:dyDescent="0.2">
      <c r="A20" s="28" t="s">
        <v>30</v>
      </c>
      <c r="B20" s="30">
        <f t="shared" si="5"/>
        <v>0</v>
      </c>
      <c r="C20" s="30">
        <f t="shared" si="6"/>
        <v>0</v>
      </c>
      <c r="D20" s="30">
        <f t="shared" si="7"/>
        <v>0</v>
      </c>
      <c r="E20" s="30"/>
      <c r="F20" s="30">
        <f t="shared" si="8"/>
        <v>1940</v>
      </c>
      <c r="G20" s="30">
        <f t="shared" si="9"/>
        <v>0</v>
      </c>
      <c r="H20" s="30">
        <f t="shared" si="10"/>
        <v>0</v>
      </c>
      <c r="I20" s="30">
        <f t="shared" si="10"/>
        <v>0</v>
      </c>
      <c r="J20" s="30">
        <f t="shared" si="11"/>
        <v>2470</v>
      </c>
      <c r="K20" s="30">
        <f t="shared" si="12"/>
        <v>0</v>
      </c>
      <c r="L20" s="30">
        <f t="shared" si="13"/>
        <v>0</v>
      </c>
      <c r="M20" s="30">
        <f t="shared" si="13"/>
        <v>0</v>
      </c>
      <c r="N20" s="30">
        <f t="shared" si="14"/>
        <v>2969</v>
      </c>
      <c r="O20" s="30">
        <f t="shared" si="15"/>
        <v>0</v>
      </c>
      <c r="P20" s="30">
        <f t="shared" si="16"/>
        <v>0</v>
      </c>
      <c r="Q20" s="30">
        <f t="shared" si="17"/>
        <v>0</v>
      </c>
      <c r="R20" s="30">
        <f t="shared" si="18"/>
        <v>0</v>
      </c>
      <c r="S20" s="30">
        <f t="shared" si="19"/>
        <v>0</v>
      </c>
      <c r="T20" s="30">
        <f t="shared" si="20"/>
        <v>0</v>
      </c>
      <c r="U20" s="30">
        <f t="shared" si="21"/>
        <v>0</v>
      </c>
      <c r="V20" s="30">
        <f t="shared" si="22"/>
        <v>0</v>
      </c>
      <c r="W20" s="30">
        <f t="shared" si="23"/>
        <v>0</v>
      </c>
      <c r="X20" s="30">
        <f t="shared" si="24"/>
        <v>0</v>
      </c>
      <c r="Y20" s="30">
        <f t="shared" si="25"/>
        <v>0</v>
      </c>
      <c r="Z20" s="30">
        <f t="shared" si="26"/>
        <v>0</v>
      </c>
      <c r="AA20" s="30">
        <f t="shared" si="27"/>
        <v>0</v>
      </c>
      <c r="AB20" s="30">
        <f t="shared" si="28"/>
        <v>0</v>
      </c>
      <c r="AC20" s="30">
        <f t="shared" si="29"/>
        <v>0</v>
      </c>
    </row>
    <row r="21" spans="1:29" x14ac:dyDescent="0.2">
      <c r="A21" s="28" t="s">
        <v>31</v>
      </c>
      <c r="B21" s="30">
        <f t="shared" si="5"/>
        <v>0</v>
      </c>
      <c r="C21" s="30">
        <f t="shared" si="6"/>
        <v>0</v>
      </c>
      <c r="D21" s="30">
        <f t="shared" si="7"/>
        <v>0</v>
      </c>
      <c r="E21" s="30"/>
      <c r="F21" s="30">
        <f t="shared" si="8"/>
        <v>2360</v>
      </c>
      <c r="G21" s="30">
        <f t="shared" si="9"/>
        <v>0</v>
      </c>
      <c r="H21" s="30">
        <f t="shared" si="10"/>
        <v>0</v>
      </c>
      <c r="I21" s="30">
        <f t="shared" si="10"/>
        <v>0</v>
      </c>
      <c r="J21" s="30">
        <f t="shared" si="11"/>
        <v>2990</v>
      </c>
      <c r="K21" s="30">
        <f t="shared" si="12"/>
        <v>0</v>
      </c>
      <c r="L21" s="30">
        <f t="shared" si="13"/>
        <v>0</v>
      </c>
      <c r="M21" s="30">
        <f t="shared" si="13"/>
        <v>0</v>
      </c>
      <c r="N21" s="30">
        <f t="shared" si="14"/>
        <v>3600</v>
      </c>
      <c r="O21" s="30">
        <f t="shared" si="15"/>
        <v>0</v>
      </c>
      <c r="P21" s="30">
        <f t="shared" si="16"/>
        <v>0</v>
      </c>
      <c r="Q21" s="30">
        <f t="shared" si="17"/>
        <v>0</v>
      </c>
      <c r="R21" s="30">
        <f t="shared" si="18"/>
        <v>0</v>
      </c>
      <c r="S21" s="30">
        <f t="shared" si="19"/>
        <v>0</v>
      </c>
      <c r="T21" s="30">
        <f t="shared" si="20"/>
        <v>0</v>
      </c>
      <c r="U21" s="30">
        <f t="shared" si="21"/>
        <v>0</v>
      </c>
      <c r="V21" s="30">
        <f t="shared" si="22"/>
        <v>0</v>
      </c>
      <c r="W21" s="30">
        <f t="shared" si="23"/>
        <v>0</v>
      </c>
      <c r="X21" s="30">
        <f t="shared" si="24"/>
        <v>0</v>
      </c>
      <c r="Y21" s="30">
        <f t="shared" si="25"/>
        <v>0</v>
      </c>
      <c r="Z21" s="30">
        <f t="shared" si="26"/>
        <v>0</v>
      </c>
      <c r="AA21" s="30">
        <f t="shared" si="27"/>
        <v>0</v>
      </c>
      <c r="AB21" s="30">
        <f t="shared" si="28"/>
        <v>0</v>
      </c>
      <c r="AC21" s="30">
        <f t="shared" si="29"/>
        <v>0</v>
      </c>
    </row>
    <row r="22" spans="1:29" x14ac:dyDescent="0.2">
      <c r="A22" s="28" t="s">
        <v>32</v>
      </c>
      <c r="B22" s="30">
        <f t="shared" si="5"/>
        <v>0</v>
      </c>
      <c r="C22" s="30">
        <f t="shared" si="6"/>
        <v>0</v>
      </c>
      <c r="D22" s="30">
        <f t="shared" si="7"/>
        <v>0</v>
      </c>
      <c r="E22" s="30"/>
      <c r="F22" s="30">
        <f t="shared" si="8"/>
        <v>2800</v>
      </c>
      <c r="G22" s="30">
        <f t="shared" si="9"/>
        <v>0</v>
      </c>
      <c r="H22" s="30">
        <f t="shared" si="10"/>
        <v>0</v>
      </c>
      <c r="I22" s="30">
        <f t="shared" si="10"/>
        <v>0</v>
      </c>
      <c r="J22" s="30">
        <f t="shared" si="11"/>
        <v>3865</v>
      </c>
      <c r="K22" s="30">
        <f t="shared" si="12"/>
        <v>0</v>
      </c>
      <c r="L22" s="30">
        <f t="shared" si="13"/>
        <v>0</v>
      </c>
      <c r="M22" s="30">
        <f t="shared" si="13"/>
        <v>0</v>
      </c>
      <c r="N22" s="30">
        <f t="shared" si="14"/>
        <v>4199</v>
      </c>
      <c r="O22" s="30">
        <f t="shared" si="15"/>
        <v>0</v>
      </c>
      <c r="P22" s="30">
        <f t="shared" si="16"/>
        <v>0</v>
      </c>
      <c r="Q22" s="30">
        <f t="shared" si="17"/>
        <v>0</v>
      </c>
      <c r="R22" s="30">
        <f t="shared" si="18"/>
        <v>0</v>
      </c>
      <c r="S22" s="30">
        <f t="shared" si="19"/>
        <v>0</v>
      </c>
      <c r="T22" s="30">
        <f t="shared" si="20"/>
        <v>0</v>
      </c>
      <c r="U22" s="30">
        <f t="shared" si="21"/>
        <v>0</v>
      </c>
      <c r="V22" s="30">
        <f t="shared" si="22"/>
        <v>0</v>
      </c>
      <c r="W22" s="30">
        <f t="shared" si="23"/>
        <v>0</v>
      </c>
      <c r="X22" s="30">
        <f t="shared" si="24"/>
        <v>0</v>
      </c>
      <c r="Y22" s="30">
        <f t="shared" si="25"/>
        <v>0</v>
      </c>
      <c r="Z22" s="30">
        <f t="shared" si="26"/>
        <v>0</v>
      </c>
      <c r="AA22" s="30">
        <f t="shared" si="27"/>
        <v>0</v>
      </c>
      <c r="AB22" s="30">
        <f t="shared" si="28"/>
        <v>0</v>
      </c>
      <c r="AC22" s="30">
        <f t="shared" si="29"/>
        <v>0</v>
      </c>
    </row>
    <row r="23" spans="1:29" x14ac:dyDescent="0.2">
      <c r="A23" s="28" t="s">
        <v>33</v>
      </c>
      <c r="B23" s="30">
        <f t="shared" si="5"/>
        <v>0</v>
      </c>
      <c r="C23" s="30">
        <f t="shared" si="6"/>
        <v>0</v>
      </c>
      <c r="D23" s="30">
        <f t="shared" si="7"/>
        <v>0</v>
      </c>
      <c r="E23" s="30"/>
      <c r="F23" s="30">
        <f t="shared" si="8"/>
        <v>3240</v>
      </c>
      <c r="G23" s="30">
        <f t="shared" si="9"/>
        <v>0</v>
      </c>
      <c r="H23" s="30">
        <f t="shared" si="10"/>
        <v>0</v>
      </c>
      <c r="I23" s="30">
        <f t="shared" si="10"/>
        <v>0</v>
      </c>
      <c r="J23" s="30">
        <f t="shared" si="11"/>
        <v>4740</v>
      </c>
      <c r="K23" s="30">
        <f t="shared" si="12"/>
        <v>0</v>
      </c>
      <c r="L23" s="30">
        <f t="shared" si="13"/>
        <v>0</v>
      </c>
      <c r="M23" s="30">
        <f t="shared" si="13"/>
        <v>0</v>
      </c>
      <c r="N23" s="30">
        <f t="shared" si="14"/>
        <v>4798</v>
      </c>
      <c r="O23" s="30">
        <f t="shared" si="15"/>
        <v>0</v>
      </c>
      <c r="P23" s="30">
        <f t="shared" si="16"/>
        <v>0</v>
      </c>
      <c r="Q23" s="30">
        <f t="shared" si="17"/>
        <v>0</v>
      </c>
      <c r="R23" s="30">
        <f t="shared" si="18"/>
        <v>0</v>
      </c>
      <c r="S23" s="30">
        <f t="shared" si="19"/>
        <v>0</v>
      </c>
      <c r="T23" s="30">
        <f t="shared" si="20"/>
        <v>0</v>
      </c>
      <c r="U23" s="30">
        <f t="shared" si="21"/>
        <v>0</v>
      </c>
      <c r="V23" s="30">
        <f t="shared" si="22"/>
        <v>0</v>
      </c>
      <c r="W23" s="30">
        <f t="shared" si="23"/>
        <v>0</v>
      </c>
      <c r="X23" s="30">
        <f t="shared" si="24"/>
        <v>0</v>
      </c>
      <c r="Y23" s="30">
        <f t="shared" si="25"/>
        <v>0</v>
      </c>
      <c r="Z23" s="30">
        <f t="shared" si="26"/>
        <v>0</v>
      </c>
      <c r="AA23" s="30">
        <f t="shared" si="27"/>
        <v>0</v>
      </c>
      <c r="AB23" s="30">
        <f t="shared" si="28"/>
        <v>0</v>
      </c>
      <c r="AC23" s="30">
        <f t="shared" si="29"/>
        <v>0</v>
      </c>
    </row>
    <row r="24" spans="1:29" x14ac:dyDescent="0.2">
      <c r="A24" s="28" t="s">
        <v>34</v>
      </c>
      <c r="B24" s="30">
        <f t="shared" si="5"/>
        <v>0</v>
      </c>
      <c r="C24" s="30">
        <f t="shared" si="6"/>
        <v>0</v>
      </c>
      <c r="D24" s="30">
        <f t="shared" si="7"/>
        <v>0</v>
      </c>
      <c r="E24" s="30"/>
      <c r="F24" s="30">
        <f t="shared" si="8"/>
        <v>3660</v>
      </c>
      <c r="G24" s="30">
        <f t="shared" si="9"/>
        <v>0</v>
      </c>
      <c r="H24" s="30">
        <f t="shared" si="10"/>
        <v>0</v>
      </c>
      <c r="I24" s="30">
        <f t="shared" si="10"/>
        <v>0</v>
      </c>
      <c r="J24" s="30">
        <f t="shared" si="11"/>
        <v>5615</v>
      </c>
      <c r="K24" s="30">
        <f t="shared" si="12"/>
        <v>0</v>
      </c>
      <c r="L24" s="30">
        <f t="shared" si="13"/>
        <v>0</v>
      </c>
      <c r="M24" s="30">
        <f t="shared" si="13"/>
        <v>0</v>
      </c>
      <c r="N24" s="30">
        <f t="shared" si="14"/>
        <v>5399</v>
      </c>
      <c r="O24" s="30">
        <f t="shared" si="15"/>
        <v>0</v>
      </c>
      <c r="P24" s="30">
        <f t="shared" si="16"/>
        <v>0</v>
      </c>
      <c r="Q24" s="30">
        <f t="shared" si="17"/>
        <v>0</v>
      </c>
      <c r="R24" s="30">
        <f t="shared" si="18"/>
        <v>0</v>
      </c>
      <c r="S24" s="30">
        <f t="shared" si="19"/>
        <v>0</v>
      </c>
      <c r="T24" s="30">
        <f t="shared" si="20"/>
        <v>0</v>
      </c>
      <c r="U24" s="30">
        <f t="shared" si="21"/>
        <v>0</v>
      </c>
      <c r="V24" s="30">
        <f t="shared" si="22"/>
        <v>0</v>
      </c>
      <c r="W24" s="30">
        <f t="shared" si="23"/>
        <v>0</v>
      </c>
      <c r="X24" s="30">
        <f t="shared" si="24"/>
        <v>0</v>
      </c>
      <c r="Y24" s="30">
        <f t="shared" si="25"/>
        <v>0</v>
      </c>
      <c r="Z24" s="30">
        <f t="shared" si="26"/>
        <v>0</v>
      </c>
      <c r="AA24" s="30">
        <f t="shared" si="27"/>
        <v>0</v>
      </c>
      <c r="AB24" s="30">
        <f t="shared" si="28"/>
        <v>0</v>
      </c>
      <c r="AC24" s="30">
        <f t="shared" si="29"/>
        <v>0</v>
      </c>
    </row>
    <row r="25" spans="1:29" x14ac:dyDescent="0.2">
      <c r="A25" s="29" t="s">
        <v>35</v>
      </c>
      <c r="B25" s="31">
        <f t="shared" si="5"/>
        <v>0</v>
      </c>
      <c r="C25" s="31">
        <f t="shared" si="6"/>
        <v>0</v>
      </c>
      <c r="D25" s="31">
        <f t="shared" si="7"/>
        <v>0</v>
      </c>
      <c r="E25" s="31"/>
      <c r="F25" s="31">
        <f t="shared" si="8"/>
        <v>4100</v>
      </c>
      <c r="G25" s="31">
        <f t="shared" si="9"/>
        <v>0</v>
      </c>
      <c r="H25" s="31">
        <f t="shared" si="10"/>
        <v>0</v>
      </c>
      <c r="I25" s="31">
        <f t="shared" si="10"/>
        <v>0</v>
      </c>
      <c r="J25" s="31">
        <f t="shared" si="11"/>
        <v>6490</v>
      </c>
      <c r="K25" s="31">
        <f t="shared" si="12"/>
        <v>0</v>
      </c>
      <c r="L25" s="31">
        <f t="shared" si="13"/>
        <v>0</v>
      </c>
      <c r="M25" s="31">
        <f t="shared" si="13"/>
        <v>0</v>
      </c>
      <c r="N25" s="31">
        <f t="shared" si="14"/>
        <v>6000</v>
      </c>
      <c r="O25" s="31">
        <f t="shared" si="15"/>
        <v>0</v>
      </c>
      <c r="P25" s="31">
        <f t="shared" si="16"/>
        <v>0</v>
      </c>
      <c r="Q25" s="31">
        <f t="shared" si="17"/>
        <v>0</v>
      </c>
      <c r="R25" s="31">
        <f t="shared" si="18"/>
        <v>0</v>
      </c>
      <c r="S25" s="31">
        <f t="shared" si="19"/>
        <v>0</v>
      </c>
      <c r="T25" s="31">
        <f t="shared" si="20"/>
        <v>0</v>
      </c>
      <c r="U25" s="31">
        <f t="shared" si="21"/>
        <v>0</v>
      </c>
      <c r="V25" s="31">
        <f t="shared" si="22"/>
        <v>0</v>
      </c>
      <c r="W25" s="31">
        <f t="shared" si="23"/>
        <v>0</v>
      </c>
      <c r="X25" s="31">
        <f t="shared" si="24"/>
        <v>0</v>
      </c>
      <c r="Y25" s="31">
        <f t="shared" si="25"/>
        <v>0</v>
      </c>
      <c r="Z25" s="31">
        <f t="shared" si="26"/>
        <v>0</v>
      </c>
      <c r="AA25" s="31">
        <f t="shared" si="27"/>
        <v>0</v>
      </c>
      <c r="AB25" s="31">
        <f t="shared" si="28"/>
        <v>0</v>
      </c>
      <c r="AC25" s="31">
        <f t="shared" si="29"/>
        <v>0</v>
      </c>
    </row>
    <row r="26" spans="1:29" x14ac:dyDescent="0.2">
      <c r="A26" s="29" t="s">
        <v>36</v>
      </c>
      <c r="B26" s="31">
        <f t="shared" si="5"/>
        <v>0</v>
      </c>
      <c r="C26" s="31">
        <f t="shared" si="6"/>
        <v>0</v>
      </c>
      <c r="D26" s="31">
        <f t="shared" si="7"/>
        <v>0</v>
      </c>
      <c r="E26" s="31"/>
      <c r="F26" s="31">
        <f t="shared" si="8"/>
        <v>4550</v>
      </c>
      <c r="G26" s="31">
        <f t="shared" si="9"/>
        <v>0</v>
      </c>
      <c r="H26" s="31">
        <f t="shared" si="10"/>
        <v>0</v>
      </c>
      <c r="I26" s="31">
        <f t="shared" si="10"/>
        <v>0</v>
      </c>
      <c r="J26" s="31">
        <f t="shared" si="11"/>
        <v>7365</v>
      </c>
      <c r="K26" s="31">
        <f t="shared" si="12"/>
        <v>0</v>
      </c>
      <c r="L26" s="31">
        <f t="shared" si="13"/>
        <v>0</v>
      </c>
      <c r="M26" s="31">
        <f t="shared" si="13"/>
        <v>0</v>
      </c>
      <c r="N26" s="31">
        <f t="shared" si="14"/>
        <v>6601</v>
      </c>
      <c r="O26" s="31">
        <f t="shared" si="15"/>
        <v>0</v>
      </c>
      <c r="P26" s="31">
        <f t="shared" si="16"/>
        <v>0</v>
      </c>
      <c r="Q26" s="31">
        <f t="shared" si="17"/>
        <v>0</v>
      </c>
      <c r="R26" s="31">
        <f t="shared" si="18"/>
        <v>0</v>
      </c>
      <c r="S26" s="31">
        <f t="shared" si="19"/>
        <v>0</v>
      </c>
      <c r="T26" s="31">
        <f t="shared" si="20"/>
        <v>0</v>
      </c>
      <c r="U26" s="31">
        <f t="shared" si="21"/>
        <v>0</v>
      </c>
      <c r="V26" s="31">
        <f t="shared" si="22"/>
        <v>0</v>
      </c>
      <c r="W26" s="31">
        <f t="shared" si="23"/>
        <v>0</v>
      </c>
      <c r="X26" s="31">
        <f t="shared" si="24"/>
        <v>0</v>
      </c>
      <c r="Y26" s="31">
        <f t="shared" si="25"/>
        <v>0</v>
      </c>
      <c r="Z26" s="31">
        <f t="shared" si="26"/>
        <v>0</v>
      </c>
      <c r="AA26" s="31">
        <f t="shared" si="27"/>
        <v>0</v>
      </c>
      <c r="AB26" s="31">
        <f t="shared" si="28"/>
        <v>0</v>
      </c>
      <c r="AC26" s="31">
        <f t="shared" si="29"/>
        <v>0</v>
      </c>
    </row>
    <row r="27" spans="1:29" x14ac:dyDescent="0.2">
      <c r="A27" s="12" t="s">
        <v>15</v>
      </c>
      <c r="B27" s="32">
        <f t="shared" si="5"/>
        <v>0</v>
      </c>
      <c r="C27" s="32">
        <f t="shared" si="6"/>
        <v>0</v>
      </c>
      <c r="D27" s="32">
        <f t="shared" si="7"/>
        <v>0</v>
      </c>
      <c r="E27" s="32"/>
      <c r="F27" s="32">
        <f t="shared" si="8"/>
        <v>5000</v>
      </c>
      <c r="G27" s="32">
        <f t="shared" si="9"/>
        <v>0</v>
      </c>
      <c r="H27" s="32">
        <f t="shared" si="10"/>
        <v>0</v>
      </c>
      <c r="I27" s="32">
        <f t="shared" si="10"/>
        <v>0</v>
      </c>
      <c r="J27" s="32">
        <f t="shared" si="11"/>
        <v>8232</v>
      </c>
      <c r="K27" s="32">
        <f t="shared" si="12"/>
        <v>0</v>
      </c>
      <c r="L27" s="32">
        <f t="shared" si="13"/>
        <v>0</v>
      </c>
      <c r="M27" s="32">
        <f t="shared" si="13"/>
        <v>0</v>
      </c>
      <c r="N27" s="32">
        <f t="shared" si="14"/>
        <v>7200</v>
      </c>
      <c r="O27" s="32">
        <f t="shared" si="15"/>
        <v>0</v>
      </c>
      <c r="P27" s="32">
        <f t="shared" si="16"/>
        <v>0</v>
      </c>
      <c r="Q27" s="32">
        <f t="shared" si="17"/>
        <v>0</v>
      </c>
      <c r="R27" s="32">
        <f t="shared" si="18"/>
        <v>0</v>
      </c>
      <c r="S27" s="32">
        <f t="shared" si="19"/>
        <v>0</v>
      </c>
      <c r="T27" s="32">
        <f t="shared" si="20"/>
        <v>0</v>
      </c>
      <c r="U27" s="32">
        <f t="shared" si="21"/>
        <v>0</v>
      </c>
      <c r="V27" s="32">
        <f t="shared" si="22"/>
        <v>0</v>
      </c>
      <c r="W27" s="32">
        <f t="shared" si="23"/>
        <v>0</v>
      </c>
      <c r="X27" s="32">
        <f t="shared" si="24"/>
        <v>0</v>
      </c>
      <c r="Y27" s="32">
        <f t="shared" si="25"/>
        <v>0</v>
      </c>
      <c r="Z27" s="32">
        <f t="shared" si="26"/>
        <v>0</v>
      </c>
      <c r="AA27" s="32">
        <f t="shared" si="27"/>
        <v>0</v>
      </c>
      <c r="AB27" s="32">
        <f t="shared" si="28"/>
        <v>0</v>
      </c>
      <c r="AC27" s="32">
        <f t="shared" si="29"/>
        <v>0</v>
      </c>
    </row>
  </sheetData>
  <mergeCells count="14">
    <mergeCell ref="K2:M2"/>
    <mergeCell ref="K1:M1"/>
    <mergeCell ref="C2:D2"/>
    <mergeCell ref="B1:D1"/>
    <mergeCell ref="G2:I2"/>
    <mergeCell ref="F1:I1"/>
    <mergeCell ref="W1:Y1"/>
    <mergeCell ref="W2:Y2"/>
    <mergeCell ref="AA1:AC1"/>
    <mergeCell ref="AA2:AC2"/>
    <mergeCell ref="O1:Q1"/>
    <mergeCell ref="O2:Q2"/>
    <mergeCell ref="S1:U1"/>
    <mergeCell ref="S2:U2"/>
  </mergeCells>
  <phoneticPr fontId="0" type="noConversion"/>
  <pageMargins left="0" right="0.78740157480314965" top="0" bottom="0" header="0" footer="0"/>
  <pageSetup paperSize="9" scale="6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2" topLeftCell="G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245</v>
      </c>
      <c r="C4" s="22"/>
      <c r="D4" s="22"/>
      <c r="E4" s="22"/>
      <c r="F4" s="22">
        <v>320</v>
      </c>
      <c r="G4" s="22"/>
      <c r="H4" s="22"/>
      <c r="I4" s="125"/>
      <c r="J4" s="22">
        <v>280</v>
      </c>
      <c r="K4" s="22"/>
      <c r="L4" s="22"/>
      <c r="M4" s="22"/>
      <c r="N4" s="22">
        <v>1010</v>
      </c>
      <c r="O4" s="22"/>
      <c r="P4" s="22"/>
      <c r="Q4" s="22"/>
      <c r="R4" s="22">
        <v>200</v>
      </c>
      <c r="S4" s="22"/>
      <c r="T4" s="22"/>
      <c r="U4" s="22"/>
      <c r="V4" s="22">
        <v>250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330</v>
      </c>
      <c r="C5" s="22"/>
      <c r="D5" s="22"/>
      <c r="E5" s="22"/>
      <c r="F5" s="22">
        <v>450</v>
      </c>
      <c r="G5" s="22"/>
      <c r="H5" s="22"/>
      <c r="I5" s="125"/>
      <c r="J5" s="22">
        <v>650</v>
      </c>
      <c r="K5" s="22"/>
      <c r="L5" s="22"/>
      <c r="M5" s="22"/>
      <c r="N5" s="22">
        <v>1440</v>
      </c>
      <c r="O5" s="22"/>
      <c r="P5" s="22"/>
      <c r="Q5" s="22"/>
      <c r="R5" s="22">
        <v>280</v>
      </c>
      <c r="S5" s="22"/>
      <c r="T5" s="22"/>
      <c r="U5" s="22"/>
      <c r="V5" s="22">
        <v>260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370</v>
      </c>
      <c r="C6" s="22"/>
      <c r="D6" s="22"/>
      <c r="E6" s="22"/>
      <c r="F6" s="22">
        <v>480</v>
      </c>
      <c r="G6" s="22"/>
      <c r="H6" s="22"/>
      <c r="I6" s="125"/>
      <c r="J6" s="22">
        <v>900</v>
      </c>
      <c r="K6" s="22"/>
      <c r="L6" s="22"/>
      <c r="M6" s="22"/>
      <c r="N6" s="22">
        <v>1240</v>
      </c>
      <c r="O6" s="22"/>
      <c r="P6" s="22"/>
      <c r="Q6" s="22"/>
      <c r="R6" s="22">
        <v>300</v>
      </c>
      <c r="S6" s="22"/>
      <c r="T6" s="22"/>
      <c r="U6" s="22"/>
      <c r="V6" s="22">
        <v>260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340</v>
      </c>
      <c r="C7" s="22"/>
      <c r="D7" s="22"/>
      <c r="E7" s="22"/>
      <c r="F7" s="22">
        <v>500</v>
      </c>
      <c r="G7" s="22"/>
      <c r="H7" s="22"/>
      <c r="I7" s="125"/>
      <c r="J7" s="22">
        <v>1270</v>
      </c>
      <c r="K7" s="22"/>
      <c r="L7" s="22"/>
      <c r="M7" s="22"/>
      <c r="N7" s="22">
        <v>1240</v>
      </c>
      <c r="O7" s="22"/>
      <c r="P7" s="22"/>
      <c r="Q7" s="22"/>
      <c r="R7" s="22">
        <v>300</v>
      </c>
      <c r="S7" s="22"/>
      <c r="T7" s="22"/>
      <c r="U7" s="22"/>
      <c r="V7" s="22">
        <v>250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274</v>
      </c>
      <c r="C8" s="22"/>
      <c r="D8" s="22"/>
      <c r="E8" s="22"/>
      <c r="F8" s="22">
        <v>450</v>
      </c>
      <c r="G8" s="22"/>
      <c r="H8" s="22"/>
      <c r="I8" s="125"/>
      <c r="J8" s="22">
        <v>1470</v>
      </c>
      <c r="K8" s="22"/>
      <c r="L8" s="22"/>
      <c r="M8" s="22"/>
      <c r="N8" s="22">
        <v>1140</v>
      </c>
      <c r="O8" s="22"/>
      <c r="P8" s="22"/>
      <c r="Q8" s="22"/>
      <c r="R8" s="22">
        <v>300</v>
      </c>
      <c r="S8" s="22"/>
      <c r="T8" s="22"/>
      <c r="U8" s="22"/>
      <c r="V8" s="22">
        <v>260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245</v>
      </c>
      <c r="C9" s="22"/>
      <c r="D9" s="22"/>
      <c r="E9" s="22"/>
      <c r="F9" s="22">
        <v>290</v>
      </c>
      <c r="G9" s="22"/>
      <c r="H9" s="22"/>
      <c r="I9" s="125"/>
      <c r="J9" s="22">
        <v>1000</v>
      </c>
      <c r="K9" s="22"/>
      <c r="L9" s="22"/>
      <c r="M9" s="22"/>
      <c r="N9" s="22">
        <v>1020</v>
      </c>
      <c r="O9" s="22"/>
      <c r="P9" s="22"/>
      <c r="Q9" s="22"/>
      <c r="R9" s="22">
        <v>250</v>
      </c>
      <c r="S9" s="22"/>
      <c r="T9" s="22"/>
      <c r="U9" s="22"/>
      <c r="V9" s="22">
        <v>250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245</v>
      </c>
      <c r="C10" s="22"/>
      <c r="D10" s="22"/>
      <c r="E10" s="22"/>
      <c r="F10" s="22">
        <v>290</v>
      </c>
      <c r="G10" s="22"/>
      <c r="H10" s="22"/>
      <c r="I10" s="125"/>
      <c r="J10" s="22">
        <v>3022</v>
      </c>
      <c r="K10" s="22"/>
      <c r="L10" s="22"/>
      <c r="M10" s="22"/>
      <c r="N10" s="22">
        <v>265</v>
      </c>
      <c r="O10" s="22"/>
      <c r="P10" s="22"/>
      <c r="Q10" s="22"/>
      <c r="R10" s="22">
        <v>85</v>
      </c>
      <c r="S10" s="22"/>
      <c r="T10" s="22"/>
      <c r="U10" s="22"/>
      <c r="V10" s="22">
        <v>264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295</v>
      </c>
      <c r="C11" s="22"/>
      <c r="D11" s="22"/>
      <c r="E11" s="22"/>
      <c r="F11" s="22">
        <v>290</v>
      </c>
      <c r="G11" s="22"/>
      <c r="H11" s="22"/>
      <c r="I11" s="125"/>
      <c r="J11" s="22">
        <v>1800</v>
      </c>
      <c r="K11" s="22"/>
      <c r="L11" s="22"/>
      <c r="M11" s="22"/>
      <c r="N11" s="22">
        <v>650</v>
      </c>
      <c r="O11" s="22"/>
      <c r="P11" s="22"/>
      <c r="Q11" s="22"/>
      <c r="R11" s="22">
        <v>77</v>
      </c>
      <c r="S11" s="22"/>
      <c r="T11" s="22"/>
      <c r="U11" s="22"/>
      <c r="V11" s="22">
        <v>240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350</v>
      </c>
      <c r="C12" s="22"/>
      <c r="D12" s="22"/>
      <c r="E12" s="22"/>
      <c r="F12" s="22">
        <v>395</v>
      </c>
      <c r="G12" s="22"/>
      <c r="H12" s="22"/>
      <c r="I12" s="125"/>
      <c r="J12" s="22">
        <v>2400</v>
      </c>
      <c r="K12" s="22"/>
      <c r="L12" s="22"/>
      <c r="M12" s="22"/>
      <c r="N12" s="22">
        <v>1190</v>
      </c>
      <c r="O12" s="22"/>
      <c r="P12" s="22"/>
      <c r="Q12" s="22"/>
      <c r="R12" s="22">
        <v>77</v>
      </c>
      <c r="S12" s="22"/>
      <c r="T12" s="22"/>
      <c r="U12" s="22"/>
      <c r="V12" s="22">
        <v>240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350</v>
      </c>
      <c r="C13" s="22"/>
      <c r="D13" s="22"/>
      <c r="E13" s="22"/>
      <c r="F13" s="22">
        <v>510</v>
      </c>
      <c r="G13" s="22"/>
      <c r="H13" s="22"/>
      <c r="I13" s="125"/>
      <c r="J13" s="22">
        <v>2600</v>
      </c>
      <c r="K13" s="22"/>
      <c r="L13" s="22"/>
      <c r="M13" s="22"/>
      <c r="N13" s="22">
        <v>1245</v>
      </c>
      <c r="O13" s="22"/>
      <c r="P13" s="22"/>
      <c r="Q13" s="22"/>
      <c r="R13" s="22">
        <v>77</v>
      </c>
      <c r="S13" s="22"/>
      <c r="T13" s="22"/>
      <c r="U13" s="22"/>
      <c r="V13" s="22">
        <v>240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360</v>
      </c>
      <c r="C14" s="22"/>
      <c r="D14" s="22"/>
      <c r="E14" s="22"/>
      <c r="F14" s="22">
        <v>515</v>
      </c>
      <c r="G14" s="22"/>
      <c r="H14" s="22"/>
      <c r="I14" s="125"/>
      <c r="J14" s="22">
        <v>2600</v>
      </c>
      <c r="K14" s="22"/>
      <c r="L14" s="22"/>
      <c r="M14" s="22"/>
      <c r="N14" s="22">
        <v>1291</v>
      </c>
      <c r="O14" s="22"/>
      <c r="P14" s="22"/>
      <c r="Q14" s="22"/>
      <c r="R14" s="22">
        <v>77</v>
      </c>
      <c r="S14" s="22"/>
      <c r="T14" s="22"/>
      <c r="U14" s="22"/>
      <c r="V14" s="22">
        <v>240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340</v>
      </c>
      <c r="C15" s="22"/>
      <c r="D15" s="22"/>
      <c r="E15" s="22"/>
      <c r="F15" s="22">
        <v>510</v>
      </c>
      <c r="G15" s="22"/>
      <c r="H15" s="22"/>
      <c r="I15" s="125"/>
      <c r="J15" s="22">
        <v>2600</v>
      </c>
      <c r="K15" s="22"/>
      <c r="L15" s="22"/>
      <c r="M15" s="22"/>
      <c r="N15" s="22">
        <v>1315</v>
      </c>
      <c r="O15" s="22"/>
      <c r="P15" s="22"/>
      <c r="Q15" s="22"/>
      <c r="R15" s="22">
        <v>77</v>
      </c>
      <c r="S15" s="22"/>
      <c r="T15" s="22"/>
      <c r="U15" s="22"/>
      <c r="V15" s="22">
        <v>240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3744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5000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20592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13046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2100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2994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575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770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930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2450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480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510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37</v>
      </c>
      <c r="B18" s="30">
        <f t="shared" ref="B18:AC27" si="2">B17+B6</f>
        <v>945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1250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1830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3690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780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770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1285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1750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3100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4930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1080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1020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1559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2200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4570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6070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1380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1280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1804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2490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5570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7090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1630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1530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2049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2780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8592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7355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1715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1794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2344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3070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10392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8005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1792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2034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2694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3465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12792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9195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1869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2274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3044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3975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15392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10440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1946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2514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3404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4490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17992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11731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2023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2754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3744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5000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20592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13046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2100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2994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B1:D1"/>
    <mergeCell ref="F1:H1"/>
    <mergeCell ref="O2:Q2"/>
    <mergeCell ref="S2:U2"/>
    <mergeCell ref="W2:Y2"/>
    <mergeCell ref="AA2:AC2"/>
    <mergeCell ref="C2:E2"/>
    <mergeCell ref="G2:I2"/>
    <mergeCell ref="K2:M2"/>
  </mergeCells>
  <phoneticPr fontId="0" type="noConversion"/>
  <pageMargins left="0" right="0.78740157480314965" top="0" bottom="0" header="0" footer="0"/>
  <pageSetup paperSize="9" scale="5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G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10.5703125" bestFit="1" customWidth="1"/>
    <col min="9" max="9" width="10.5703125" customWidth="1"/>
    <col min="11" max="11" width="11.85546875" bestFit="1" customWidth="1"/>
    <col min="12" max="12" width="10.5703125" bestFit="1" customWidth="1"/>
  </cols>
  <sheetData>
    <row r="1" spans="1:27" x14ac:dyDescent="0.2">
      <c r="A1" s="2"/>
      <c r="B1" s="365" t="s">
        <v>0</v>
      </c>
      <c r="C1" s="365"/>
      <c r="D1" s="365"/>
      <c r="E1" s="117"/>
      <c r="F1" s="359" t="s">
        <v>1</v>
      </c>
      <c r="G1" s="358"/>
      <c r="H1" s="358"/>
      <c r="I1" s="20"/>
      <c r="J1" s="19"/>
      <c r="K1" s="24" t="s">
        <v>2</v>
      </c>
      <c r="L1" s="25"/>
      <c r="N1" s="365" t="s">
        <v>192</v>
      </c>
      <c r="O1" s="365"/>
      <c r="P1" s="365"/>
      <c r="Q1" s="117"/>
      <c r="R1" s="359" t="s">
        <v>193</v>
      </c>
      <c r="S1" s="358"/>
      <c r="T1" s="358"/>
      <c r="U1" s="20"/>
      <c r="V1" s="19"/>
      <c r="W1" s="24" t="s">
        <v>188</v>
      </c>
      <c r="X1" s="25"/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7" t="s">
        <v>6</v>
      </c>
      <c r="K2" s="359" t="s">
        <v>25</v>
      </c>
      <c r="L2" s="358"/>
      <c r="M2" s="362"/>
      <c r="N2" s="6" t="s">
        <v>6</v>
      </c>
      <c r="O2" s="359" t="s">
        <v>25</v>
      </c>
      <c r="P2" s="358"/>
      <c r="Q2" s="362"/>
      <c r="R2" s="6" t="s">
        <v>6</v>
      </c>
      <c r="S2" s="359" t="s">
        <v>25</v>
      </c>
      <c r="T2" s="358"/>
      <c r="U2" s="362"/>
      <c r="V2" s="7" t="s">
        <v>6</v>
      </c>
      <c r="W2" s="359" t="s">
        <v>25</v>
      </c>
      <c r="X2" s="358"/>
      <c r="Y2" s="362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9"/>
      <c r="O3" s="17" t="s">
        <v>27</v>
      </c>
      <c r="P3" s="15" t="s">
        <v>26</v>
      </c>
      <c r="Q3" s="115" t="s">
        <v>105</v>
      </c>
      <c r="R3" s="9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</row>
    <row r="4" spans="1:27" x14ac:dyDescent="0.2">
      <c r="A4" s="1" t="s">
        <v>4</v>
      </c>
      <c r="B4" s="137">
        <v>817</v>
      </c>
      <c r="C4" s="22"/>
      <c r="D4" s="22"/>
      <c r="E4" s="22"/>
      <c r="F4" s="137">
        <v>1084</v>
      </c>
      <c r="G4" s="22"/>
      <c r="H4" s="22"/>
      <c r="I4" s="22"/>
      <c r="J4" s="137"/>
      <c r="K4" s="22"/>
      <c r="L4" s="22"/>
      <c r="M4" s="21"/>
      <c r="N4" s="137">
        <v>2711</v>
      </c>
      <c r="O4" s="22"/>
      <c r="P4" s="22"/>
      <c r="Q4" s="22"/>
      <c r="R4" s="137">
        <v>82</v>
      </c>
      <c r="S4" s="22"/>
      <c r="T4" s="22"/>
      <c r="U4" s="22"/>
      <c r="V4" s="137">
        <v>417</v>
      </c>
      <c r="W4" s="22"/>
      <c r="X4" s="22"/>
      <c r="Y4" s="21"/>
    </row>
    <row r="5" spans="1:27" x14ac:dyDescent="0.2">
      <c r="A5" s="1" t="s">
        <v>7</v>
      </c>
      <c r="B5" s="137">
        <v>816</v>
      </c>
      <c r="C5" s="22"/>
      <c r="D5" s="22"/>
      <c r="E5" s="22"/>
      <c r="F5" s="137">
        <v>1083</v>
      </c>
      <c r="G5" s="22"/>
      <c r="H5" s="22"/>
      <c r="I5" s="22"/>
      <c r="J5" s="137"/>
      <c r="K5" s="22"/>
      <c r="L5" s="22"/>
      <c r="M5" s="21"/>
      <c r="N5" s="137">
        <v>2715</v>
      </c>
      <c r="O5" s="22"/>
      <c r="P5" s="22"/>
      <c r="Q5" s="22"/>
      <c r="R5" s="137">
        <v>82</v>
      </c>
      <c r="S5" s="22"/>
      <c r="T5" s="22"/>
      <c r="U5" s="22"/>
      <c r="V5" s="137">
        <v>416</v>
      </c>
      <c r="W5" s="22"/>
      <c r="X5" s="22"/>
      <c r="Y5" s="21"/>
    </row>
    <row r="6" spans="1:27" x14ac:dyDescent="0.2">
      <c r="A6" s="1" t="s">
        <v>8</v>
      </c>
      <c r="B6" s="137">
        <v>817</v>
      </c>
      <c r="C6" s="22"/>
      <c r="D6" s="22"/>
      <c r="E6" s="22"/>
      <c r="F6" s="137">
        <v>1084</v>
      </c>
      <c r="G6" s="22"/>
      <c r="H6" s="22"/>
      <c r="I6" s="22"/>
      <c r="J6" s="137"/>
      <c r="K6" s="22"/>
      <c r="L6" s="22"/>
      <c r="M6" s="21"/>
      <c r="N6" s="137">
        <v>2716</v>
      </c>
      <c r="O6" s="22"/>
      <c r="P6" s="22"/>
      <c r="Q6" s="22"/>
      <c r="R6" s="137">
        <v>82</v>
      </c>
      <c r="S6" s="22"/>
      <c r="T6" s="22"/>
      <c r="U6" s="22"/>
      <c r="V6" s="137">
        <v>417</v>
      </c>
      <c r="W6" s="22"/>
      <c r="X6" s="22"/>
      <c r="Y6" s="21"/>
    </row>
    <row r="7" spans="1:27" x14ac:dyDescent="0.2">
      <c r="A7" s="1" t="s">
        <v>16</v>
      </c>
      <c r="B7" s="137">
        <v>817</v>
      </c>
      <c r="C7" s="22"/>
      <c r="D7" s="22"/>
      <c r="E7" s="22"/>
      <c r="F7" s="137">
        <v>1084</v>
      </c>
      <c r="G7" s="22"/>
      <c r="H7" s="22"/>
      <c r="I7" s="22"/>
      <c r="J7" s="137"/>
      <c r="K7" s="22"/>
      <c r="L7" s="22"/>
      <c r="M7" s="21"/>
      <c r="N7" s="137">
        <v>2715</v>
      </c>
      <c r="O7" s="22"/>
      <c r="P7" s="22"/>
      <c r="Q7" s="22"/>
      <c r="R7" s="137">
        <v>82</v>
      </c>
      <c r="S7" s="22"/>
      <c r="T7" s="22"/>
      <c r="U7" s="22"/>
      <c r="V7" s="137">
        <v>417</v>
      </c>
      <c r="W7" s="22"/>
      <c r="X7" s="22"/>
      <c r="Y7" s="21"/>
    </row>
    <row r="8" spans="1:27" x14ac:dyDescent="0.2">
      <c r="A8" s="1" t="s">
        <v>17</v>
      </c>
      <c r="B8" s="137">
        <v>816</v>
      </c>
      <c r="C8" s="22"/>
      <c r="D8" s="22"/>
      <c r="E8" s="22"/>
      <c r="F8" s="137">
        <v>1082</v>
      </c>
      <c r="G8" s="22"/>
      <c r="H8" s="22"/>
      <c r="I8" s="22"/>
      <c r="J8" s="137"/>
      <c r="K8" s="22"/>
      <c r="L8" s="22"/>
      <c r="M8" s="21"/>
      <c r="N8" s="137">
        <v>2713</v>
      </c>
      <c r="O8" s="22"/>
      <c r="P8" s="22"/>
      <c r="Q8" s="22"/>
      <c r="R8" s="137">
        <v>83</v>
      </c>
      <c r="S8" s="22"/>
      <c r="T8" s="22"/>
      <c r="U8" s="22"/>
      <c r="V8" s="137">
        <v>417</v>
      </c>
      <c r="W8" s="22"/>
      <c r="X8" s="22"/>
      <c r="Y8" s="21"/>
    </row>
    <row r="9" spans="1:27" x14ac:dyDescent="0.2">
      <c r="A9" s="1" t="s">
        <v>18</v>
      </c>
      <c r="B9" s="137">
        <v>816</v>
      </c>
      <c r="C9" s="22"/>
      <c r="D9" s="22"/>
      <c r="E9" s="22"/>
      <c r="F9" s="137">
        <v>1082</v>
      </c>
      <c r="G9" s="22"/>
      <c r="H9" s="22"/>
      <c r="I9" s="22"/>
      <c r="J9" s="137">
        <v>13519</v>
      </c>
      <c r="K9" s="22"/>
      <c r="L9" s="22"/>
      <c r="M9" s="21"/>
      <c r="N9" s="137">
        <v>2711</v>
      </c>
      <c r="O9" s="22"/>
      <c r="P9" s="22"/>
      <c r="Q9" s="22"/>
      <c r="R9" s="137">
        <v>83</v>
      </c>
      <c r="S9" s="22"/>
      <c r="T9" s="22"/>
      <c r="U9" s="22"/>
      <c r="V9" s="137">
        <v>416</v>
      </c>
      <c r="W9" s="22"/>
      <c r="X9" s="22"/>
      <c r="Y9" s="21"/>
    </row>
    <row r="10" spans="1:27" x14ac:dyDescent="0.2">
      <c r="A10" s="82" t="s">
        <v>19</v>
      </c>
      <c r="B10" s="137">
        <v>816</v>
      </c>
      <c r="C10" s="22"/>
      <c r="D10" s="22"/>
      <c r="E10" s="22"/>
      <c r="F10" s="137">
        <v>1066</v>
      </c>
      <c r="G10" s="83"/>
      <c r="H10" s="22"/>
      <c r="I10" s="22"/>
      <c r="J10" s="137">
        <v>4346</v>
      </c>
      <c r="K10" s="83"/>
      <c r="L10" s="22"/>
      <c r="M10" s="21"/>
      <c r="N10" s="137">
        <v>2127</v>
      </c>
      <c r="O10" s="22"/>
      <c r="P10" s="22"/>
      <c r="Q10" s="22"/>
      <c r="R10" s="137">
        <v>83</v>
      </c>
      <c r="S10" s="83"/>
      <c r="T10" s="22"/>
      <c r="U10" s="22"/>
      <c r="V10" s="137">
        <f>368+48</f>
        <v>416</v>
      </c>
      <c r="W10" s="83"/>
      <c r="X10" s="22"/>
      <c r="Y10" s="21"/>
    </row>
    <row r="11" spans="1:27" x14ac:dyDescent="0.2">
      <c r="A11" s="1" t="s">
        <v>10</v>
      </c>
      <c r="B11" s="137">
        <v>817</v>
      </c>
      <c r="C11" s="22"/>
      <c r="D11" s="22"/>
      <c r="E11" s="22"/>
      <c r="F11" s="137">
        <v>1067</v>
      </c>
      <c r="G11" s="22"/>
      <c r="H11" s="22"/>
      <c r="I11" s="22"/>
      <c r="J11" s="137">
        <v>4346</v>
      </c>
      <c r="K11" s="22"/>
      <c r="L11" s="22"/>
      <c r="M11" s="21"/>
      <c r="N11" s="137">
        <v>2127</v>
      </c>
      <c r="O11" s="22"/>
      <c r="P11" s="22"/>
      <c r="Q11" s="22"/>
      <c r="R11" s="137">
        <v>83</v>
      </c>
      <c r="S11" s="22"/>
      <c r="T11" s="22"/>
      <c r="U11" s="22"/>
      <c r="V11" s="137">
        <f>368+48</f>
        <v>416</v>
      </c>
      <c r="W11" s="22"/>
      <c r="X11" s="22"/>
      <c r="Y11" s="21"/>
    </row>
    <row r="12" spans="1:27" x14ac:dyDescent="0.2">
      <c r="A12" s="1" t="s">
        <v>11</v>
      </c>
      <c r="B12" s="137">
        <v>817</v>
      </c>
      <c r="C12" s="22"/>
      <c r="D12" s="22"/>
      <c r="E12" s="22"/>
      <c r="F12" s="137">
        <v>1067</v>
      </c>
      <c r="G12" s="22"/>
      <c r="H12" s="22"/>
      <c r="I12" s="22"/>
      <c r="J12" s="137">
        <v>4350</v>
      </c>
      <c r="K12" s="22"/>
      <c r="L12" s="22"/>
      <c r="M12" s="21"/>
      <c r="N12" s="137">
        <v>2128</v>
      </c>
      <c r="O12" s="22"/>
      <c r="P12" s="22"/>
      <c r="Q12" s="22"/>
      <c r="R12" s="137">
        <v>85</v>
      </c>
      <c r="S12" s="22"/>
      <c r="T12" s="22"/>
      <c r="U12" s="22"/>
      <c r="V12" s="137">
        <f>369+48</f>
        <v>417</v>
      </c>
      <c r="W12" s="22"/>
      <c r="X12" s="22"/>
      <c r="Y12" s="21"/>
    </row>
    <row r="13" spans="1:27" x14ac:dyDescent="0.2">
      <c r="A13" s="1" t="s">
        <v>12</v>
      </c>
      <c r="B13" s="137">
        <v>817</v>
      </c>
      <c r="C13" s="22"/>
      <c r="D13" s="22"/>
      <c r="E13" s="22"/>
      <c r="F13" s="137">
        <v>1068</v>
      </c>
      <c r="G13" s="22"/>
      <c r="H13" s="22"/>
      <c r="I13" s="22"/>
      <c r="J13" s="137">
        <v>4350</v>
      </c>
      <c r="K13" s="22"/>
      <c r="L13" s="22"/>
      <c r="M13" s="21"/>
      <c r="N13" s="137">
        <v>2129</v>
      </c>
      <c r="O13" s="22"/>
      <c r="P13" s="22"/>
      <c r="Q13" s="22"/>
      <c r="R13" s="137">
        <v>85</v>
      </c>
      <c r="S13" s="22"/>
      <c r="T13" s="22"/>
      <c r="U13" s="22"/>
      <c r="V13" s="137">
        <f>369+48</f>
        <v>417</v>
      </c>
      <c r="W13" s="22"/>
      <c r="X13" s="22"/>
      <c r="Y13" s="21"/>
    </row>
    <row r="14" spans="1:27" x14ac:dyDescent="0.2">
      <c r="A14" s="1" t="s">
        <v>13</v>
      </c>
      <c r="B14" s="137">
        <v>817</v>
      </c>
      <c r="C14" s="22"/>
      <c r="D14" s="22"/>
      <c r="E14" s="22"/>
      <c r="F14" s="137">
        <v>1070</v>
      </c>
      <c r="G14" s="22"/>
      <c r="H14" s="22"/>
      <c r="I14" s="22"/>
      <c r="J14" s="137">
        <v>4357</v>
      </c>
      <c r="K14" s="22"/>
      <c r="L14" s="22"/>
      <c r="M14" s="21"/>
      <c r="N14" s="137">
        <v>2135</v>
      </c>
      <c r="O14" s="22"/>
      <c r="P14" s="22"/>
      <c r="Q14" s="22"/>
      <c r="R14" s="137">
        <v>85</v>
      </c>
      <c r="S14" s="22"/>
      <c r="T14" s="22"/>
      <c r="U14" s="22"/>
      <c r="V14" s="137">
        <f>369+48</f>
        <v>417</v>
      </c>
      <c r="W14" s="22"/>
      <c r="X14" s="22"/>
      <c r="Y14" s="21"/>
    </row>
    <row r="15" spans="1:27" x14ac:dyDescent="0.2">
      <c r="A15" s="136" t="s">
        <v>14</v>
      </c>
      <c r="B15" s="137">
        <v>817</v>
      </c>
      <c r="C15" s="22"/>
      <c r="D15" s="22"/>
      <c r="E15" s="104"/>
      <c r="F15" s="137">
        <v>1063</v>
      </c>
      <c r="G15" s="22"/>
      <c r="H15" s="137"/>
      <c r="I15" s="137"/>
      <c r="J15" s="137">
        <v>4357</v>
      </c>
      <c r="K15" s="137"/>
      <c r="L15" s="22"/>
      <c r="M15" s="21"/>
      <c r="N15" s="137">
        <v>2135</v>
      </c>
      <c r="O15" s="22"/>
      <c r="P15" s="22"/>
      <c r="Q15" s="104"/>
      <c r="R15" s="137">
        <v>85</v>
      </c>
      <c r="S15" s="22"/>
      <c r="T15" s="137"/>
      <c r="U15" s="137"/>
      <c r="V15" s="137">
        <f>369+48</f>
        <v>417</v>
      </c>
      <c r="W15" s="137"/>
      <c r="X15" s="22"/>
      <c r="Y15" s="21"/>
    </row>
    <row r="16" spans="1:27" x14ac:dyDescent="0.2">
      <c r="A16" s="1" t="s">
        <v>6</v>
      </c>
      <c r="B16" s="22">
        <f>SUM(B4:B15)</f>
        <v>9800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12900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83">
        <f t="shared" si="0"/>
        <v>39625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Y16" si="1">SUM(N4:N15)</f>
        <v>29062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1000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83">
        <f t="shared" si="1"/>
        <v>5000</v>
      </c>
      <c r="W16" s="22">
        <f t="shared" si="1"/>
        <v>0</v>
      </c>
      <c r="X16" s="22">
        <f t="shared" si="1"/>
        <v>0</v>
      </c>
      <c r="Y16" s="22">
        <f t="shared" si="1"/>
        <v>0</v>
      </c>
    </row>
    <row r="17" spans="1:25" x14ac:dyDescent="0.2">
      <c r="A17" s="28" t="s">
        <v>28</v>
      </c>
      <c r="B17" s="30">
        <f t="shared" ref="B17:L17" si="2">B4+B5</f>
        <v>1633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2167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5426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164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833</v>
      </c>
      <c r="W17" s="30">
        <f t="shared" si="3"/>
        <v>0</v>
      </c>
      <c r="X17" s="30">
        <f t="shared" si="3"/>
        <v>0</v>
      </c>
      <c r="Y17" s="30">
        <f t="shared" si="3"/>
        <v>0</v>
      </c>
    </row>
    <row r="18" spans="1:25" x14ac:dyDescent="0.2">
      <c r="A18" s="28" t="s">
        <v>37</v>
      </c>
      <c r="B18" s="30">
        <f t="shared" ref="B18:B27" si="4">B17+B6</f>
        <v>2450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3251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0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8142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246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  <c r="V18" s="30">
        <f t="shared" ref="V18:V27" si="21">V17+V6</f>
        <v>1250</v>
      </c>
      <c r="W18" s="30">
        <f t="shared" ref="W18:W27" si="22">W17+W6</f>
        <v>0</v>
      </c>
      <c r="X18" s="30">
        <f t="shared" ref="X18:X27" si="23">X17+X6</f>
        <v>0</v>
      </c>
      <c r="Y18" s="30">
        <f t="shared" ref="Y18:Y27" si="24">Y17+Y6</f>
        <v>0</v>
      </c>
    </row>
    <row r="19" spans="1:25" x14ac:dyDescent="0.2">
      <c r="A19" s="28" t="s">
        <v>29</v>
      </c>
      <c r="B19" s="30">
        <f t="shared" si="4"/>
        <v>3267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4335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0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10857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328</v>
      </c>
      <c r="S19" s="30">
        <f t="shared" si="18"/>
        <v>0</v>
      </c>
      <c r="T19" s="30">
        <f t="shared" si="19"/>
        <v>0</v>
      </c>
      <c r="U19" s="30">
        <f t="shared" si="20"/>
        <v>0</v>
      </c>
      <c r="V19" s="30">
        <f t="shared" si="21"/>
        <v>1667</v>
      </c>
      <c r="W19" s="30">
        <f t="shared" si="22"/>
        <v>0</v>
      </c>
      <c r="X19" s="30">
        <f t="shared" si="23"/>
        <v>0</v>
      </c>
      <c r="Y19" s="30">
        <f t="shared" si="24"/>
        <v>0</v>
      </c>
    </row>
    <row r="20" spans="1:25" x14ac:dyDescent="0.2">
      <c r="A20" s="28" t="s">
        <v>30</v>
      </c>
      <c r="B20" s="30">
        <f t="shared" si="4"/>
        <v>4083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5417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0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13570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411</v>
      </c>
      <c r="S20" s="30">
        <f t="shared" si="18"/>
        <v>0</v>
      </c>
      <c r="T20" s="30">
        <f t="shared" si="19"/>
        <v>0</v>
      </c>
      <c r="U20" s="30">
        <f t="shared" si="20"/>
        <v>0</v>
      </c>
      <c r="V20" s="30">
        <f t="shared" si="21"/>
        <v>2084</v>
      </c>
      <c r="W20" s="30">
        <f t="shared" si="22"/>
        <v>0</v>
      </c>
      <c r="X20" s="30">
        <f t="shared" si="23"/>
        <v>0</v>
      </c>
      <c r="Y20" s="30">
        <f t="shared" si="24"/>
        <v>0</v>
      </c>
    </row>
    <row r="21" spans="1:25" x14ac:dyDescent="0.2">
      <c r="A21" s="28" t="s">
        <v>31</v>
      </c>
      <c r="B21" s="30">
        <f t="shared" si="4"/>
        <v>4899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6499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13519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16281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494</v>
      </c>
      <c r="S21" s="30">
        <f t="shared" si="18"/>
        <v>0</v>
      </c>
      <c r="T21" s="30">
        <f t="shared" si="19"/>
        <v>0</v>
      </c>
      <c r="U21" s="30">
        <f t="shared" si="20"/>
        <v>0</v>
      </c>
      <c r="V21" s="30">
        <f t="shared" si="21"/>
        <v>2500</v>
      </c>
      <c r="W21" s="30">
        <f t="shared" si="22"/>
        <v>0</v>
      </c>
      <c r="X21" s="30">
        <f t="shared" si="23"/>
        <v>0</v>
      </c>
      <c r="Y21" s="30">
        <f t="shared" si="24"/>
        <v>0</v>
      </c>
    </row>
    <row r="22" spans="1:25" x14ac:dyDescent="0.2">
      <c r="A22" s="28" t="s">
        <v>32</v>
      </c>
      <c r="B22" s="30">
        <f t="shared" si="4"/>
        <v>5715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7565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17865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18408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577</v>
      </c>
      <c r="S22" s="30">
        <f t="shared" si="18"/>
        <v>0</v>
      </c>
      <c r="T22" s="30">
        <f t="shared" si="19"/>
        <v>0</v>
      </c>
      <c r="U22" s="30">
        <f t="shared" si="20"/>
        <v>0</v>
      </c>
      <c r="V22" s="30">
        <f t="shared" si="21"/>
        <v>2916</v>
      </c>
      <c r="W22" s="30">
        <f t="shared" si="22"/>
        <v>0</v>
      </c>
      <c r="X22" s="30">
        <f t="shared" si="23"/>
        <v>0</v>
      </c>
      <c r="Y22" s="30">
        <f t="shared" si="24"/>
        <v>0</v>
      </c>
    </row>
    <row r="23" spans="1:25" x14ac:dyDescent="0.2">
      <c r="A23" s="28" t="s">
        <v>33</v>
      </c>
      <c r="B23" s="30">
        <f t="shared" si="4"/>
        <v>6532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8632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22211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20535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660</v>
      </c>
      <c r="S23" s="30">
        <f t="shared" si="18"/>
        <v>0</v>
      </c>
      <c r="T23" s="30">
        <f t="shared" si="19"/>
        <v>0</v>
      </c>
      <c r="U23" s="30">
        <f t="shared" si="20"/>
        <v>0</v>
      </c>
      <c r="V23" s="30">
        <f t="shared" si="21"/>
        <v>3332</v>
      </c>
      <c r="W23" s="30">
        <f t="shared" si="22"/>
        <v>0</v>
      </c>
      <c r="X23" s="30">
        <f t="shared" si="23"/>
        <v>0</v>
      </c>
      <c r="Y23" s="30">
        <f t="shared" si="24"/>
        <v>0</v>
      </c>
    </row>
    <row r="24" spans="1:25" x14ac:dyDescent="0.2">
      <c r="A24" s="28" t="s">
        <v>34</v>
      </c>
      <c r="B24" s="30">
        <f t="shared" si="4"/>
        <v>7349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9699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26561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22663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745</v>
      </c>
      <c r="S24" s="30">
        <f t="shared" si="18"/>
        <v>0</v>
      </c>
      <c r="T24" s="30">
        <f t="shared" si="19"/>
        <v>0</v>
      </c>
      <c r="U24" s="30">
        <f t="shared" si="20"/>
        <v>0</v>
      </c>
      <c r="V24" s="30">
        <f t="shared" si="21"/>
        <v>3749</v>
      </c>
      <c r="W24" s="30">
        <f t="shared" si="22"/>
        <v>0</v>
      </c>
      <c r="X24" s="30">
        <f t="shared" si="23"/>
        <v>0</v>
      </c>
      <c r="Y24" s="30">
        <f t="shared" si="24"/>
        <v>0</v>
      </c>
    </row>
    <row r="25" spans="1:25" x14ac:dyDescent="0.2">
      <c r="A25" s="29" t="s">
        <v>35</v>
      </c>
      <c r="B25" s="31">
        <f t="shared" si="4"/>
        <v>8166</v>
      </c>
      <c r="C25" s="31">
        <f t="shared" si="5"/>
        <v>0</v>
      </c>
      <c r="D25" s="31">
        <f t="shared" si="6"/>
        <v>0</v>
      </c>
      <c r="E25" s="31">
        <f t="shared" si="6"/>
        <v>0</v>
      </c>
      <c r="F25" s="31">
        <f t="shared" si="7"/>
        <v>10767</v>
      </c>
      <c r="G25" s="31">
        <f t="shared" si="8"/>
        <v>0</v>
      </c>
      <c r="H25" s="31">
        <f t="shared" si="9"/>
        <v>0</v>
      </c>
      <c r="I25" s="31">
        <f t="shared" si="9"/>
        <v>0</v>
      </c>
      <c r="J25" s="31">
        <f t="shared" si="10"/>
        <v>30911</v>
      </c>
      <c r="K25" s="31">
        <f t="shared" si="11"/>
        <v>0</v>
      </c>
      <c r="L25" s="31">
        <f t="shared" si="12"/>
        <v>0</v>
      </c>
      <c r="M25" s="31">
        <f t="shared" si="12"/>
        <v>0</v>
      </c>
      <c r="N25" s="31">
        <f t="shared" si="13"/>
        <v>24792</v>
      </c>
      <c r="O25" s="31">
        <f t="shared" si="14"/>
        <v>0</v>
      </c>
      <c r="P25" s="31">
        <f t="shared" si="15"/>
        <v>0</v>
      </c>
      <c r="Q25" s="31">
        <f t="shared" si="16"/>
        <v>0</v>
      </c>
      <c r="R25" s="31">
        <f t="shared" si="17"/>
        <v>830</v>
      </c>
      <c r="S25" s="31">
        <f t="shared" si="18"/>
        <v>0</v>
      </c>
      <c r="T25" s="31">
        <f t="shared" si="19"/>
        <v>0</v>
      </c>
      <c r="U25" s="31">
        <f t="shared" si="20"/>
        <v>0</v>
      </c>
      <c r="V25" s="31">
        <f t="shared" si="21"/>
        <v>4166</v>
      </c>
      <c r="W25" s="31">
        <f t="shared" si="22"/>
        <v>0</v>
      </c>
      <c r="X25" s="31">
        <f t="shared" si="23"/>
        <v>0</v>
      </c>
      <c r="Y25" s="31">
        <f t="shared" si="24"/>
        <v>0</v>
      </c>
    </row>
    <row r="26" spans="1:25" x14ac:dyDescent="0.2">
      <c r="A26" s="29" t="s">
        <v>36</v>
      </c>
      <c r="B26" s="31">
        <f t="shared" si="4"/>
        <v>8983</v>
      </c>
      <c r="C26" s="31">
        <f t="shared" si="5"/>
        <v>0</v>
      </c>
      <c r="D26" s="31">
        <f t="shared" si="6"/>
        <v>0</v>
      </c>
      <c r="E26" s="31">
        <f t="shared" si="6"/>
        <v>0</v>
      </c>
      <c r="F26" s="31">
        <f t="shared" si="7"/>
        <v>11837</v>
      </c>
      <c r="G26" s="31">
        <f t="shared" si="8"/>
        <v>0</v>
      </c>
      <c r="H26" s="31">
        <f t="shared" si="9"/>
        <v>0</v>
      </c>
      <c r="I26" s="31">
        <f t="shared" si="9"/>
        <v>0</v>
      </c>
      <c r="J26" s="31">
        <f t="shared" si="10"/>
        <v>35268</v>
      </c>
      <c r="K26" s="31">
        <f t="shared" si="11"/>
        <v>0</v>
      </c>
      <c r="L26" s="31">
        <f t="shared" si="12"/>
        <v>0</v>
      </c>
      <c r="M26" s="31">
        <f t="shared" si="12"/>
        <v>0</v>
      </c>
      <c r="N26" s="31">
        <f t="shared" si="13"/>
        <v>26927</v>
      </c>
      <c r="O26" s="31">
        <f t="shared" si="14"/>
        <v>0</v>
      </c>
      <c r="P26" s="31">
        <f t="shared" si="15"/>
        <v>0</v>
      </c>
      <c r="Q26" s="31">
        <f t="shared" si="16"/>
        <v>0</v>
      </c>
      <c r="R26" s="31">
        <f t="shared" si="17"/>
        <v>915</v>
      </c>
      <c r="S26" s="31">
        <f t="shared" si="18"/>
        <v>0</v>
      </c>
      <c r="T26" s="31">
        <f t="shared" si="19"/>
        <v>0</v>
      </c>
      <c r="U26" s="31">
        <f t="shared" si="20"/>
        <v>0</v>
      </c>
      <c r="V26" s="31">
        <f t="shared" si="21"/>
        <v>4583</v>
      </c>
      <c r="W26" s="31">
        <f t="shared" si="22"/>
        <v>0</v>
      </c>
      <c r="X26" s="31">
        <f t="shared" si="23"/>
        <v>0</v>
      </c>
      <c r="Y26" s="31">
        <f t="shared" si="24"/>
        <v>0</v>
      </c>
    </row>
    <row r="27" spans="1:25" x14ac:dyDescent="0.2">
      <c r="A27" s="12" t="s">
        <v>15</v>
      </c>
      <c r="B27" s="32">
        <f t="shared" si="4"/>
        <v>9800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12900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39625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29062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1000</v>
      </c>
      <c r="S27" s="32">
        <f t="shared" si="18"/>
        <v>0</v>
      </c>
      <c r="T27" s="32">
        <f t="shared" si="19"/>
        <v>0</v>
      </c>
      <c r="U27" s="32">
        <f t="shared" si="20"/>
        <v>0</v>
      </c>
      <c r="V27" s="32">
        <f t="shared" si="21"/>
        <v>5000</v>
      </c>
      <c r="W27" s="32">
        <f t="shared" si="22"/>
        <v>0</v>
      </c>
      <c r="X27" s="32">
        <f t="shared" si="23"/>
        <v>0</v>
      </c>
      <c r="Y27" s="32">
        <f t="shared" si="24"/>
        <v>0</v>
      </c>
    </row>
  </sheetData>
  <mergeCells count="10">
    <mergeCell ref="B1:D1"/>
    <mergeCell ref="F1:H1"/>
    <mergeCell ref="C2:E2"/>
    <mergeCell ref="G2:I2"/>
    <mergeCell ref="W2:Y2"/>
    <mergeCell ref="N1:P1"/>
    <mergeCell ref="R1:T1"/>
    <mergeCell ref="O2:Q2"/>
    <mergeCell ref="S2:U2"/>
    <mergeCell ref="K2:M2"/>
  </mergeCells>
  <phoneticPr fontId="0" type="noConversion"/>
  <pageMargins left="0" right="0" top="0" bottom="0" header="0" footer="0"/>
  <pageSetup paperSize="9" scale="5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F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3" width="11.5703125" customWidth="1"/>
    <col min="4" max="5" width="10.710937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9" x14ac:dyDescent="0.2">
      <c r="A1" s="2"/>
      <c r="B1" s="365" t="s">
        <v>0</v>
      </c>
      <c r="C1" s="365"/>
      <c r="D1" s="365"/>
      <c r="E1" s="117"/>
      <c r="F1" s="359" t="s">
        <v>1</v>
      </c>
      <c r="G1" s="358"/>
      <c r="H1" s="358"/>
      <c r="I1" s="20"/>
      <c r="J1" s="19"/>
      <c r="K1" s="24" t="s">
        <v>2</v>
      </c>
      <c r="L1" s="25"/>
      <c r="N1" s="365" t="s">
        <v>192</v>
      </c>
      <c r="O1" s="365"/>
      <c r="P1" s="365"/>
      <c r="Q1" s="117"/>
      <c r="R1" s="359" t="s">
        <v>193</v>
      </c>
      <c r="S1" s="358"/>
      <c r="T1" s="358"/>
      <c r="U1" s="20"/>
      <c r="V1" s="19"/>
      <c r="W1" s="24" t="s">
        <v>188</v>
      </c>
      <c r="X1" s="25"/>
      <c r="Z1" s="19"/>
      <c r="AA1" s="24" t="s">
        <v>173</v>
      </c>
      <c r="AB1" s="25"/>
    </row>
    <row r="2" spans="1:29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7" t="s">
        <v>6</v>
      </c>
      <c r="K2" s="359" t="s">
        <v>25</v>
      </c>
      <c r="L2" s="358"/>
      <c r="M2" s="362"/>
      <c r="N2" s="6" t="s">
        <v>6</v>
      </c>
      <c r="O2" s="359" t="s">
        <v>25</v>
      </c>
      <c r="P2" s="358"/>
      <c r="Q2" s="362"/>
      <c r="R2" s="6" t="s">
        <v>6</v>
      </c>
      <c r="S2" s="359" t="s">
        <v>25</v>
      </c>
      <c r="T2" s="358"/>
      <c r="U2" s="362"/>
      <c r="V2" s="7" t="s">
        <v>6</v>
      </c>
      <c r="W2" s="359" t="s">
        <v>25</v>
      </c>
      <c r="X2" s="358"/>
      <c r="Y2" s="362"/>
      <c r="Z2" s="7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9"/>
      <c r="O3" s="17" t="s">
        <v>27</v>
      </c>
      <c r="P3" s="15" t="s">
        <v>26</v>
      </c>
      <c r="Q3" s="115" t="s">
        <v>105</v>
      </c>
      <c r="R3" s="9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  <c r="Z3" s="7"/>
      <c r="AA3" s="17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137">
        <v>3495</v>
      </c>
      <c r="C4" s="22"/>
      <c r="D4" s="22"/>
      <c r="E4" s="22"/>
      <c r="F4" s="137">
        <v>730</v>
      </c>
      <c r="G4" s="22"/>
      <c r="H4" s="22"/>
      <c r="I4" s="22"/>
      <c r="J4" s="137">
        <v>2185</v>
      </c>
      <c r="K4" s="22"/>
      <c r="L4" s="22"/>
      <c r="M4" s="21"/>
      <c r="N4" s="137">
        <v>2521</v>
      </c>
      <c r="O4" s="22"/>
      <c r="P4" s="22"/>
      <c r="Q4" s="22"/>
      <c r="R4" s="137">
        <v>50</v>
      </c>
      <c r="S4" s="22"/>
      <c r="T4" s="22"/>
      <c r="U4" s="22"/>
      <c r="V4" s="137">
        <v>600</v>
      </c>
      <c r="W4" s="22"/>
      <c r="X4" s="22"/>
      <c r="Y4" s="21"/>
      <c r="Z4" s="137"/>
      <c r="AA4" s="22"/>
      <c r="AB4" s="22"/>
      <c r="AC4" s="21"/>
    </row>
    <row r="5" spans="1:29" x14ac:dyDescent="0.2">
      <c r="A5" s="1" t="s">
        <v>7</v>
      </c>
      <c r="B5" s="137">
        <v>3705</v>
      </c>
      <c r="C5" s="22"/>
      <c r="D5" s="22"/>
      <c r="E5" s="22"/>
      <c r="F5" s="137">
        <v>830</v>
      </c>
      <c r="G5" s="22"/>
      <c r="H5" s="22"/>
      <c r="I5" s="22"/>
      <c r="J5" s="137">
        <v>2664</v>
      </c>
      <c r="K5" s="22"/>
      <c r="L5" s="22"/>
      <c r="M5" s="21"/>
      <c r="N5" s="137">
        <v>3371</v>
      </c>
      <c r="O5" s="22"/>
      <c r="P5" s="22"/>
      <c r="Q5" s="22"/>
      <c r="R5" s="137">
        <v>50</v>
      </c>
      <c r="S5" s="22"/>
      <c r="T5" s="22"/>
      <c r="U5" s="22"/>
      <c r="V5" s="137">
        <v>600</v>
      </c>
      <c r="W5" s="22"/>
      <c r="X5" s="22"/>
      <c r="Y5" s="21"/>
      <c r="Z5" s="137"/>
      <c r="AA5" s="22"/>
      <c r="AB5" s="22"/>
      <c r="AC5" s="21"/>
    </row>
    <row r="6" spans="1:29" x14ac:dyDescent="0.2">
      <c r="A6" s="1" t="s">
        <v>8</v>
      </c>
      <c r="B6" s="137">
        <v>3990</v>
      </c>
      <c r="C6" s="22"/>
      <c r="D6" s="22"/>
      <c r="E6" s="22"/>
      <c r="F6" s="137">
        <v>920</v>
      </c>
      <c r="G6" s="22"/>
      <c r="H6" s="22"/>
      <c r="I6" s="22"/>
      <c r="J6" s="137">
        <v>3075</v>
      </c>
      <c r="K6" s="22"/>
      <c r="L6" s="22"/>
      <c r="M6" s="21"/>
      <c r="N6" s="137">
        <v>4060</v>
      </c>
      <c r="O6" s="22"/>
      <c r="P6" s="22"/>
      <c r="Q6" s="22"/>
      <c r="R6" s="137">
        <v>100</v>
      </c>
      <c r="S6" s="22"/>
      <c r="T6" s="22"/>
      <c r="U6" s="22"/>
      <c r="V6" s="137">
        <v>600</v>
      </c>
      <c r="W6" s="22"/>
      <c r="X6" s="22"/>
      <c r="Y6" s="21"/>
      <c r="Z6" s="137"/>
      <c r="AA6" s="22"/>
      <c r="AB6" s="22"/>
      <c r="AC6" s="21"/>
    </row>
    <row r="7" spans="1:29" x14ac:dyDescent="0.2">
      <c r="A7" s="1" t="s">
        <v>16</v>
      </c>
      <c r="B7" s="137">
        <v>4085</v>
      </c>
      <c r="C7" s="22"/>
      <c r="D7" s="22"/>
      <c r="E7" s="22"/>
      <c r="F7" s="137">
        <v>920</v>
      </c>
      <c r="G7" s="22"/>
      <c r="H7" s="22"/>
      <c r="I7" s="22"/>
      <c r="J7" s="137">
        <v>3100</v>
      </c>
      <c r="K7" s="22"/>
      <c r="L7" s="22"/>
      <c r="M7" s="21"/>
      <c r="N7" s="137">
        <v>4055</v>
      </c>
      <c r="O7" s="22"/>
      <c r="P7" s="22"/>
      <c r="Q7" s="22"/>
      <c r="R7" s="137">
        <v>200</v>
      </c>
      <c r="S7" s="22"/>
      <c r="T7" s="22"/>
      <c r="U7" s="22"/>
      <c r="V7" s="137">
        <v>600</v>
      </c>
      <c r="W7" s="22"/>
      <c r="X7" s="22"/>
      <c r="Y7" s="21"/>
      <c r="Z7" s="137"/>
      <c r="AA7" s="22"/>
      <c r="AB7" s="22"/>
      <c r="AC7" s="21"/>
    </row>
    <row r="8" spans="1:29" x14ac:dyDescent="0.2">
      <c r="A8" s="1" t="s">
        <v>17</v>
      </c>
      <c r="B8" s="137">
        <v>3740</v>
      </c>
      <c r="C8" s="22"/>
      <c r="D8" s="22"/>
      <c r="E8" s="22"/>
      <c r="F8" s="137">
        <v>920</v>
      </c>
      <c r="G8" s="22"/>
      <c r="H8" s="22"/>
      <c r="I8" s="22"/>
      <c r="J8" s="137">
        <v>2824</v>
      </c>
      <c r="K8" s="22"/>
      <c r="L8" s="22"/>
      <c r="M8" s="21"/>
      <c r="N8" s="137">
        <v>3558</v>
      </c>
      <c r="O8" s="22"/>
      <c r="P8" s="22"/>
      <c r="Q8" s="22"/>
      <c r="R8" s="137">
        <v>200</v>
      </c>
      <c r="S8" s="22"/>
      <c r="T8" s="22"/>
      <c r="U8" s="22"/>
      <c r="V8" s="137">
        <v>600</v>
      </c>
      <c r="W8" s="22"/>
      <c r="X8" s="22"/>
      <c r="Y8" s="21"/>
      <c r="Z8" s="137"/>
      <c r="AA8" s="22"/>
      <c r="AB8" s="22"/>
      <c r="AC8" s="21"/>
    </row>
    <row r="9" spans="1:29" x14ac:dyDescent="0.2">
      <c r="A9" s="1" t="s">
        <v>18</v>
      </c>
      <c r="B9" s="137">
        <v>3555</v>
      </c>
      <c r="C9" s="22"/>
      <c r="D9" s="22"/>
      <c r="E9" s="22"/>
      <c r="F9" s="137">
        <v>560</v>
      </c>
      <c r="G9" s="22"/>
      <c r="H9" s="22"/>
      <c r="I9" s="22"/>
      <c r="J9" s="137">
        <v>2365</v>
      </c>
      <c r="K9" s="22"/>
      <c r="L9" s="22"/>
      <c r="M9" s="21"/>
      <c r="N9" s="137">
        <v>2762</v>
      </c>
      <c r="O9" s="22"/>
      <c r="P9" s="22"/>
      <c r="Q9" s="22"/>
      <c r="R9" s="137">
        <v>200</v>
      </c>
      <c r="S9" s="22"/>
      <c r="T9" s="22"/>
      <c r="U9" s="22"/>
      <c r="V9" s="137">
        <v>600</v>
      </c>
      <c r="W9" s="22"/>
      <c r="X9" s="22"/>
      <c r="Y9" s="21"/>
      <c r="Z9" s="137"/>
      <c r="AA9" s="22"/>
      <c r="AB9" s="22"/>
      <c r="AC9" s="21"/>
    </row>
    <row r="10" spans="1:29" x14ac:dyDescent="0.2">
      <c r="A10" s="82" t="s">
        <v>19</v>
      </c>
      <c r="B10" s="137">
        <v>3295</v>
      </c>
      <c r="C10" s="22"/>
      <c r="D10" s="22"/>
      <c r="E10" s="22"/>
      <c r="F10" s="137">
        <v>560</v>
      </c>
      <c r="G10" s="83"/>
      <c r="H10" s="22"/>
      <c r="I10" s="22"/>
      <c r="J10" s="137">
        <v>7480</v>
      </c>
      <c r="K10" s="83"/>
      <c r="L10" s="22"/>
      <c r="M10" s="21"/>
      <c r="N10" s="137">
        <v>1220</v>
      </c>
      <c r="O10" s="22"/>
      <c r="P10" s="22"/>
      <c r="Q10" s="22"/>
      <c r="R10" s="137">
        <v>200</v>
      </c>
      <c r="S10" s="83"/>
      <c r="T10" s="22"/>
      <c r="U10" s="22"/>
      <c r="V10" s="137">
        <f>550+20</f>
        <v>570</v>
      </c>
      <c r="W10" s="83"/>
      <c r="X10" s="22"/>
      <c r="Y10" s="21"/>
      <c r="Z10" s="137"/>
      <c r="AA10" s="83"/>
      <c r="AB10" s="22"/>
      <c r="AC10" s="21"/>
    </row>
    <row r="11" spans="1:29" x14ac:dyDescent="0.2">
      <c r="A11" s="1" t="s">
        <v>10</v>
      </c>
      <c r="B11" s="137">
        <v>3255</v>
      </c>
      <c r="C11" s="22"/>
      <c r="D11" s="22"/>
      <c r="E11" s="22"/>
      <c r="F11" s="137">
        <v>560</v>
      </c>
      <c r="G11" s="22"/>
      <c r="H11" s="22"/>
      <c r="I11" s="22"/>
      <c r="J11" s="137">
        <v>8280</v>
      </c>
      <c r="K11" s="22"/>
      <c r="L11" s="22"/>
      <c r="M11" s="21"/>
      <c r="N11" s="137">
        <v>1220</v>
      </c>
      <c r="O11" s="22"/>
      <c r="P11" s="22"/>
      <c r="Q11" s="22"/>
      <c r="R11" s="137">
        <v>200</v>
      </c>
      <c r="S11" s="22"/>
      <c r="T11" s="22"/>
      <c r="U11" s="22"/>
      <c r="V11" s="137">
        <f>550+20</f>
        <v>570</v>
      </c>
      <c r="W11" s="22"/>
      <c r="X11" s="22"/>
      <c r="Y11" s="21"/>
      <c r="Z11" s="137"/>
      <c r="AA11" s="22"/>
      <c r="AB11" s="22"/>
      <c r="AC11" s="21"/>
    </row>
    <row r="12" spans="1:29" x14ac:dyDescent="0.2">
      <c r="A12" s="1" t="s">
        <v>11</v>
      </c>
      <c r="B12" s="137">
        <v>3493</v>
      </c>
      <c r="C12" s="22"/>
      <c r="D12" s="22"/>
      <c r="E12" s="22"/>
      <c r="F12" s="137">
        <v>745</v>
      </c>
      <c r="G12" s="22"/>
      <c r="H12" s="22"/>
      <c r="I12" s="22"/>
      <c r="J12" s="137">
        <v>8680</v>
      </c>
      <c r="K12" s="22"/>
      <c r="L12" s="22"/>
      <c r="M12" s="21"/>
      <c r="N12" s="137">
        <v>1280</v>
      </c>
      <c r="O12" s="22"/>
      <c r="P12" s="22"/>
      <c r="Q12" s="22"/>
      <c r="R12" s="137">
        <v>200</v>
      </c>
      <c r="S12" s="22"/>
      <c r="T12" s="22"/>
      <c r="U12" s="22"/>
      <c r="V12" s="137">
        <f>579+20</f>
        <v>599</v>
      </c>
      <c r="W12" s="22"/>
      <c r="X12" s="22"/>
      <c r="Y12" s="21"/>
      <c r="Z12" s="137"/>
      <c r="AA12" s="22"/>
      <c r="AB12" s="22"/>
      <c r="AC12" s="21"/>
    </row>
    <row r="13" spans="1:29" x14ac:dyDescent="0.2">
      <c r="A13" s="1" t="s">
        <v>12</v>
      </c>
      <c r="B13" s="137">
        <v>3660</v>
      </c>
      <c r="C13" s="22"/>
      <c r="D13" s="22"/>
      <c r="E13" s="22"/>
      <c r="F13" s="137">
        <v>750</v>
      </c>
      <c r="G13" s="22"/>
      <c r="H13" s="22"/>
      <c r="I13" s="22"/>
      <c r="J13" s="137">
        <v>8680</v>
      </c>
      <c r="K13" s="22"/>
      <c r="L13" s="22"/>
      <c r="M13" s="21"/>
      <c r="N13" s="137">
        <v>1340</v>
      </c>
      <c r="O13" s="22"/>
      <c r="P13" s="22"/>
      <c r="Q13" s="22"/>
      <c r="R13" s="137">
        <v>200</v>
      </c>
      <c r="S13" s="22"/>
      <c r="T13" s="22"/>
      <c r="U13" s="22"/>
      <c r="V13" s="137">
        <f>600+20</f>
        <v>620</v>
      </c>
      <c r="W13" s="22"/>
      <c r="X13" s="22"/>
      <c r="Y13" s="21"/>
      <c r="Z13" s="137"/>
      <c r="AA13" s="22"/>
      <c r="AB13" s="22"/>
      <c r="AC13" s="21"/>
    </row>
    <row r="14" spans="1:29" x14ac:dyDescent="0.2">
      <c r="A14" s="1" t="s">
        <v>13</v>
      </c>
      <c r="B14" s="137">
        <v>3910</v>
      </c>
      <c r="C14" s="22"/>
      <c r="D14" s="22"/>
      <c r="E14" s="22"/>
      <c r="F14" s="137">
        <v>920</v>
      </c>
      <c r="G14" s="22"/>
      <c r="H14" s="22"/>
      <c r="I14" s="22"/>
      <c r="J14" s="137">
        <v>9103</v>
      </c>
      <c r="K14" s="22"/>
      <c r="L14" s="22"/>
      <c r="M14" s="21"/>
      <c r="N14" s="137">
        <v>1340</v>
      </c>
      <c r="O14" s="22"/>
      <c r="P14" s="22"/>
      <c r="Q14" s="22"/>
      <c r="R14" s="137">
        <v>200</v>
      </c>
      <c r="S14" s="22"/>
      <c r="T14" s="22"/>
      <c r="U14" s="22"/>
      <c r="V14" s="137">
        <f>600+20</f>
        <v>620</v>
      </c>
      <c r="W14" s="22"/>
      <c r="X14" s="22"/>
      <c r="Y14" s="21"/>
      <c r="Z14" s="137"/>
      <c r="AA14" s="22"/>
      <c r="AB14" s="22"/>
      <c r="AC14" s="21"/>
    </row>
    <row r="15" spans="1:29" ht="12" customHeight="1" x14ac:dyDescent="0.2">
      <c r="A15" s="1" t="s">
        <v>14</v>
      </c>
      <c r="B15" s="137">
        <v>4005</v>
      </c>
      <c r="C15" s="22"/>
      <c r="D15" s="22"/>
      <c r="E15" s="104"/>
      <c r="F15" s="137">
        <v>835</v>
      </c>
      <c r="G15" s="22"/>
      <c r="H15" s="137"/>
      <c r="I15" s="137"/>
      <c r="J15" s="137">
        <v>9180</v>
      </c>
      <c r="K15" s="137"/>
      <c r="L15" s="22"/>
      <c r="M15" s="21"/>
      <c r="N15" s="137">
        <v>1420</v>
      </c>
      <c r="O15" s="22"/>
      <c r="P15" s="22"/>
      <c r="Q15" s="104"/>
      <c r="R15" s="137">
        <v>200</v>
      </c>
      <c r="S15" s="22"/>
      <c r="T15" s="137"/>
      <c r="U15" s="137"/>
      <c r="V15" s="137">
        <f>600+21</f>
        <v>621</v>
      </c>
      <c r="W15" s="137"/>
      <c r="X15" s="22"/>
      <c r="Y15" s="21"/>
      <c r="Z15" s="137"/>
      <c r="AA15" s="137"/>
      <c r="AB15" s="22"/>
      <c r="AC15" s="21"/>
    </row>
    <row r="16" spans="1:29" x14ac:dyDescent="0.2">
      <c r="A16" s="1" t="s">
        <v>6</v>
      </c>
      <c r="B16" s="22">
        <f>SUM(B4:B15)</f>
        <v>44188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9250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83">
        <f t="shared" si="0"/>
        <v>67616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>SUM(N4:N15)</f>
        <v>28147</v>
      </c>
      <c r="O16" s="22">
        <f t="shared" ref="O16:Y16" si="1">SUM(O4:O15)</f>
        <v>0</v>
      </c>
      <c r="P16" s="22">
        <f t="shared" si="1"/>
        <v>0</v>
      </c>
      <c r="Q16" s="22">
        <f t="shared" si="1"/>
        <v>0</v>
      </c>
      <c r="R16" s="22">
        <f t="shared" si="1"/>
        <v>2000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83">
        <f t="shared" si="1"/>
        <v>7200</v>
      </c>
      <c r="W16" s="22">
        <f t="shared" si="1"/>
        <v>0</v>
      </c>
      <c r="X16" s="22">
        <f t="shared" si="1"/>
        <v>0</v>
      </c>
      <c r="Y16" s="22">
        <f t="shared" si="1"/>
        <v>0</v>
      </c>
      <c r="Z16" s="83">
        <f>SUM(Z4:Z15)</f>
        <v>0</v>
      </c>
      <c r="AA16" s="22">
        <f>SUM(AA4:AA15)</f>
        <v>0</v>
      </c>
      <c r="AB16" s="22">
        <f>SUM(AB4:AB15)</f>
        <v>0</v>
      </c>
      <c r="AC16" s="22">
        <f>SUM(AC4:AC15)</f>
        <v>0</v>
      </c>
    </row>
    <row r="17" spans="1:29" x14ac:dyDescent="0.2">
      <c r="A17" s="28" t="s">
        <v>28</v>
      </c>
      <c r="B17" s="30">
        <f t="shared" ref="B17:L17" si="2">B4+B5</f>
        <v>7200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1560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4849</v>
      </c>
      <c r="K17" s="30">
        <f t="shared" si="2"/>
        <v>0</v>
      </c>
      <c r="L17" s="30">
        <f t="shared" si="2"/>
        <v>0</v>
      </c>
      <c r="M17" s="30">
        <f t="shared" ref="M17:AC17" si="3">M4+M5</f>
        <v>0</v>
      </c>
      <c r="N17" s="30">
        <f t="shared" si="3"/>
        <v>5892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100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1200</v>
      </c>
      <c r="W17" s="30">
        <f t="shared" si="3"/>
        <v>0</v>
      </c>
      <c r="X17" s="30">
        <f t="shared" si="3"/>
        <v>0</v>
      </c>
      <c r="Y17" s="30">
        <f t="shared" si="3"/>
        <v>0</v>
      </c>
      <c r="Z17" s="30">
        <f t="shared" si="3"/>
        <v>0</v>
      </c>
      <c r="AA17" s="30">
        <f t="shared" si="3"/>
        <v>0</v>
      </c>
      <c r="AB17" s="30">
        <f t="shared" si="3"/>
        <v>0</v>
      </c>
      <c r="AC17" s="30">
        <f t="shared" si="3"/>
        <v>0</v>
      </c>
    </row>
    <row r="18" spans="1:29" x14ac:dyDescent="0.2">
      <c r="A18" s="28" t="s">
        <v>96</v>
      </c>
      <c r="B18" s="30">
        <f t="shared" ref="B18:Y27" si="4">B17+B6</f>
        <v>11190</v>
      </c>
      <c r="C18" s="30">
        <f t="shared" si="4"/>
        <v>0</v>
      </c>
      <c r="D18" s="30">
        <f t="shared" si="4"/>
        <v>0</v>
      </c>
      <c r="E18" s="30">
        <f t="shared" si="4"/>
        <v>0</v>
      </c>
      <c r="F18" s="30">
        <f t="shared" si="4"/>
        <v>2480</v>
      </c>
      <c r="G18" s="30">
        <f t="shared" si="4"/>
        <v>0</v>
      </c>
      <c r="H18" s="30">
        <f t="shared" si="4"/>
        <v>0</v>
      </c>
      <c r="I18" s="30">
        <f t="shared" si="4"/>
        <v>0</v>
      </c>
      <c r="J18" s="30">
        <f t="shared" si="4"/>
        <v>7924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4"/>
        <v>9952</v>
      </c>
      <c r="O18" s="30">
        <f t="shared" si="4"/>
        <v>0</v>
      </c>
      <c r="P18" s="30">
        <f t="shared" si="4"/>
        <v>0</v>
      </c>
      <c r="Q18" s="30">
        <f t="shared" si="4"/>
        <v>0</v>
      </c>
      <c r="R18" s="30">
        <f t="shared" si="4"/>
        <v>200</v>
      </c>
      <c r="S18" s="30">
        <f t="shared" si="4"/>
        <v>0</v>
      </c>
      <c r="T18" s="30">
        <f t="shared" si="4"/>
        <v>0</v>
      </c>
      <c r="U18" s="30">
        <f t="shared" si="4"/>
        <v>0</v>
      </c>
      <c r="V18" s="30">
        <f t="shared" si="4"/>
        <v>1800</v>
      </c>
      <c r="W18" s="30">
        <f t="shared" si="4"/>
        <v>0</v>
      </c>
      <c r="X18" s="30">
        <f t="shared" si="4"/>
        <v>0</v>
      </c>
      <c r="Y18" s="30">
        <f t="shared" si="4"/>
        <v>0</v>
      </c>
      <c r="Z18" s="30">
        <f t="shared" ref="Z18:Z27" si="5">Z17+Z6</f>
        <v>0</v>
      </c>
      <c r="AA18" s="30">
        <f t="shared" ref="AA18:AA27" si="6">AA17+AA6</f>
        <v>0</v>
      </c>
      <c r="AB18" s="30">
        <f t="shared" ref="AB18:AB27" si="7">AB17+AB6</f>
        <v>0</v>
      </c>
      <c r="AC18" s="30">
        <f t="shared" ref="AC18:AC27" si="8">AC17+AC6</f>
        <v>0</v>
      </c>
    </row>
    <row r="19" spans="1:29" x14ac:dyDescent="0.2">
      <c r="A19" s="28" t="s">
        <v>29</v>
      </c>
      <c r="B19" s="30">
        <f t="shared" si="4"/>
        <v>15275</v>
      </c>
      <c r="C19" s="30">
        <f t="shared" si="4"/>
        <v>0</v>
      </c>
      <c r="D19" s="30">
        <f t="shared" si="4"/>
        <v>0</v>
      </c>
      <c r="E19" s="30">
        <f t="shared" si="4"/>
        <v>0</v>
      </c>
      <c r="F19" s="30">
        <f t="shared" si="4"/>
        <v>3400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11024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14007</v>
      </c>
      <c r="O19" s="30">
        <f t="shared" si="4"/>
        <v>0</v>
      </c>
      <c r="P19" s="30">
        <f t="shared" si="4"/>
        <v>0</v>
      </c>
      <c r="Q19" s="30">
        <f t="shared" si="4"/>
        <v>0</v>
      </c>
      <c r="R19" s="30">
        <f t="shared" si="4"/>
        <v>400</v>
      </c>
      <c r="S19" s="30">
        <f t="shared" si="4"/>
        <v>0</v>
      </c>
      <c r="T19" s="30">
        <f t="shared" si="4"/>
        <v>0</v>
      </c>
      <c r="U19" s="30">
        <f t="shared" si="4"/>
        <v>0</v>
      </c>
      <c r="V19" s="30">
        <f t="shared" si="4"/>
        <v>2400</v>
      </c>
      <c r="W19" s="30">
        <f t="shared" si="4"/>
        <v>0</v>
      </c>
      <c r="X19" s="30">
        <f t="shared" si="4"/>
        <v>0</v>
      </c>
      <c r="Y19" s="30">
        <f t="shared" si="4"/>
        <v>0</v>
      </c>
      <c r="Z19" s="30">
        <f t="shared" si="5"/>
        <v>0</v>
      </c>
      <c r="AA19" s="30">
        <f t="shared" si="6"/>
        <v>0</v>
      </c>
      <c r="AB19" s="30">
        <f t="shared" si="7"/>
        <v>0</v>
      </c>
      <c r="AC19" s="30">
        <f t="shared" si="8"/>
        <v>0</v>
      </c>
    </row>
    <row r="20" spans="1:29" x14ac:dyDescent="0.2">
      <c r="A20" s="28" t="s">
        <v>30</v>
      </c>
      <c r="B20" s="30">
        <f t="shared" si="4"/>
        <v>19015</v>
      </c>
      <c r="C20" s="30">
        <f t="shared" si="4"/>
        <v>0</v>
      </c>
      <c r="D20" s="30">
        <f t="shared" si="4"/>
        <v>0</v>
      </c>
      <c r="E20" s="30">
        <f t="shared" si="4"/>
        <v>0</v>
      </c>
      <c r="F20" s="30">
        <f t="shared" si="4"/>
        <v>4320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13848</v>
      </c>
      <c r="K20" s="30">
        <f t="shared" si="4"/>
        <v>0</v>
      </c>
      <c r="L20" s="30">
        <f t="shared" si="4"/>
        <v>0</v>
      </c>
      <c r="M20" s="30">
        <f t="shared" si="4"/>
        <v>0</v>
      </c>
      <c r="N20" s="30">
        <f t="shared" si="4"/>
        <v>17565</v>
      </c>
      <c r="O20" s="30">
        <f t="shared" si="4"/>
        <v>0</v>
      </c>
      <c r="P20" s="30">
        <f t="shared" si="4"/>
        <v>0</v>
      </c>
      <c r="Q20" s="30">
        <f t="shared" si="4"/>
        <v>0</v>
      </c>
      <c r="R20" s="30">
        <f t="shared" si="4"/>
        <v>600</v>
      </c>
      <c r="S20" s="30">
        <f t="shared" si="4"/>
        <v>0</v>
      </c>
      <c r="T20" s="30">
        <f t="shared" si="4"/>
        <v>0</v>
      </c>
      <c r="U20" s="30">
        <f t="shared" si="4"/>
        <v>0</v>
      </c>
      <c r="V20" s="30">
        <f t="shared" si="4"/>
        <v>3000</v>
      </c>
      <c r="W20" s="30">
        <f t="shared" si="4"/>
        <v>0</v>
      </c>
      <c r="X20" s="30">
        <f t="shared" si="4"/>
        <v>0</v>
      </c>
      <c r="Y20" s="30">
        <f t="shared" si="4"/>
        <v>0</v>
      </c>
      <c r="Z20" s="30">
        <f t="shared" si="5"/>
        <v>0</v>
      </c>
      <c r="AA20" s="30">
        <f t="shared" si="6"/>
        <v>0</v>
      </c>
      <c r="AB20" s="30">
        <f t="shared" si="7"/>
        <v>0</v>
      </c>
      <c r="AC20" s="30">
        <f t="shared" si="8"/>
        <v>0</v>
      </c>
    </row>
    <row r="21" spans="1:29" x14ac:dyDescent="0.2">
      <c r="A21" s="28" t="s">
        <v>31</v>
      </c>
      <c r="B21" s="30">
        <f t="shared" si="4"/>
        <v>22570</v>
      </c>
      <c r="C21" s="30">
        <f t="shared" si="4"/>
        <v>0</v>
      </c>
      <c r="D21" s="30">
        <f t="shared" si="4"/>
        <v>0</v>
      </c>
      <c r="E21" s="30">
        <f t="shared" si="4"/>
        <v>0</v>
      </c>
      <c r="F21" s="30">
        <f t="shared" si="4"/>
        <v>4880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16213</v>
      </c>
      <c r="K21" s="30">
        <f t="shared" si="4"/>
        <v>0</v>
      </c>
      <c r="L21" s="30">
        <f t="shared" si="4"/>
        <v>0</v>
      </c>
      <c r="M21" s="30">
        <f t="shared" si="4"/>
        <v>0</v>
      </c>
      <c r="N21" s="30">
        <f t="shared" si="4"/>
        <v>20327</v>
      </c>
      <c r="O21" s="30">
        <f t="shared" si="4"/>
        <v>0</v>
      </c>
      <c r="P21" s="30">
        <f t="shared" si="4"/>
        <v>0</v>
      </c>
      <c r="Q21" s="30">
        <f t="shared" si="4"/>
        <v>0</v>
      </c>
      <c r="R21" s="30">
        <f t="shared" si="4"/>
        <v>800</v>
      </c>
      <c r="S21" s="30">
        <f t="shared" si="4"/>
        <v>0</v>
      </c>
      <c r="T21" s="30">
        <f t="shared" si="4"/>
        <v>0</v>
      </c>
      <c r="U21" s="30">
        <f t="shared" si="4"/>
        <v>0</v>
      </c>
      <c r="V21" s="30">
        <f t="shared" si="4"/>
        <v>3600</v>
      </c>
      <c r="W21" s="30">
        <f t="shared" si="4"/>
        <v>0</v>
      </c>
      <c r="X21" s="30">
        <f t="shared" si="4"/>
        <v>0</v>
      </c>
      <c r="Y21" s="30">
        <f t="shared" si="4"/>
        <v>0</v>
      </c>
      <c r="Z21" s="30">
        <f t="shared" si="5"/>
        <v>0</v>
      </c>
      <c r="AA21" s="30">
        <f t="shared" si="6"/>
        <v>0</v>
      </c>
      <c r="AB21" s="30">
        <f t="shared" si="7"/>
        <v>0</v>
      </c>
      <c r="AC21" s="30">
        <f t="shared" si="8"/>
        <v>0</v>
      </c>
    </row>
    <row r="22" spans="1:29" x14ac:dyDescent="0.2">
      <c r="A22" s="28" t="s">
        <v>32</v>
      </c>
      <c r="B22" s="30">
        <f t="shared" si="4"/>
        <v>25865</v>
      </c>
      <c r="C22" s="30">
        <f t="shared" si="4"/>
        <v>0</v>
      </c>
      <c r="D22" s="30">
        <f t="shared" si="4"/>
        <v>0</v>
      </c>
      <c r="E22" s="30">
        <f t="shared" si="4"/>
        <v>0</v>
      </c>
      <c r="F22" s="30">
        <f t="shared" si="4"/>
        <v>5440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23693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21547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1000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4170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5"/>
        <v>0</v>
      </c>
      <c r="AA22" s="30">
        <f t="shared" si="6"/>
        <v>0</v>
      </c>
      <c r="AB22" s="30">
        <f t="shared" si="7"/>
        <v>0</v>
      </c>
      <c r="AC22" s="30">
        <f t="shared" si="8"/>
        <v>0</v>
      </c>
    </row>
    <row r="23" spans="1:29" x14ac:dyDescent="0.2">
      <c r="A23" s="28" t="s">
        <v>33</v>
      </c>
      <c r="B23" s="30">
        <f t="shared" si="4"/>
        <v>29120</v>
      </c>
      <c r="C23" s="30">
        <f t="shared" si="4"/>
        <v>0</v>
      </c>
      <c r="D23" s="30">
        <f t="shared" si="4"/>
        <v>0</v>
      </c>
      <c r="E23" s="30">
        <f t="shared" si="4"/>
        <v>0</v>
      </c>
      <c r="F23" s="30">
        <f t="shared" si="4"/>
        <v>6000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30">
        <f t="shared" si="4"/>
        <v>31973</v>
      </c>
      <c r="K23" s="30">
        <f t="shared" si="4"/>
        <v>0</v>
      </c>
      <c r="L23" s="30">
        <f t="shared" si="4"/>
        <v>0</v>
      </c>
      <c r="M23" s="30">
        <f t="shared" si="4"/>
        <v>0</v>
      </c>
      <c r="N23" s="30">
        <f t="shared" si="4"/>
        <v>22767</v>
      </c>
      <c r="O23" s="30">
        <f t="shared" si="4"/>
        <v>0</v>
      </c>
      <c r="P23" s="30">
        <f t="shared" si="4"/>
        <v>0</v>
      </c>
      <c r="Q23" s="30">
        <f t="shared" si="4"/>
        <v>0</v>
      </c>
      <c r="R23" s="30">
        <f t="shared" si="4"/>
        <v>1200</v>
      </c>
      <c r="S23" s="30">
        <f t="shared" si="4"/>
        <v>0</v>
      </c>
      <c r="T23" s="30">
        <f t="shared" si="4"/>
        <v>0</v>
      </c>
      <c r="U23" s="30">
        <f t="shared" si="4"/>
        <v>0</v>
      </c>
      <c r="V23" s="30">
        <f t="shared" si="4"/>
        <v>4740</v>
      </c>
      <c r="W23" s="30">
        <f t="shared" si="4"/>
        <v>0</v>
      </c>
      <c r="X23" s="30">
        <f t="shared" si="4"/>
        <v>0</v>
      </c>
      <c r="Y23" s="30">
        <f t="shared" si="4"/>
        <v>0</v>
      </c>
      <c r="Z23" s="30">
        <f t="shared" si="5"/>
        <v>0</v>
      </c>
      <c r="AA23" s="30">
        <f t="shared" si="6"/>
        <v>0</v>
      </c>
      <c r="AB23" s="30">
        <f t="shared" si="7"/>
        <v>0</v>
      </c>
      <c r="AC23" s="30">
        <f t="shared" si="8"/>
        <v>0</v>
      </c>
    </row>
    <row r="24" spans="1:29" x14ac:dyDescent="0.2">
      <c r="A24" s="28" t="s">
        <v>34</v>
      </c>
      <c r="B24" s="30">
        <f t="shared" si="4"/>
        <v>32613</v>
      </c>
      <c r="C24" s="30">
        <f t="shared" si="4"/>
        <v>0</v>
      </c>
      <c r="D24" s="30">
        <f t="shared" si="4"/>
        <v>0</v>
      </c>
      <c r="E24" s="30">
        <f t="shared" si="4"/>
        <v>0</v>
      </c>
      <c r="F24" s="30">
        <f t="shared" si="4"/>
        <v>6745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40653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24047</v>
      </c>
      <c r="O24" s="30">
        <f t="shared" si="4"/>
        <v>0</v>
      </c>
      <c r="P24" s="30">
        <f t="shared" si="4"/>
        <v>0</v>
      </c>
      <c r="Q24" s="30">
        <f t="shared" si="4"/>
        <v>0</v>
      </c>
      <c r="R24" s="30">
        <f t="shared" si="4"/>
        <v>1400</v>
      </c>
      <c r="S24" s="30">
        <f t="shared" si="4"/>
        <v>0</v>
      </c>
      <c r="T24" s="30">
        <f t="shared" si="4"/>
        <v>0</v>
      </c>
      <c r="U24" s="30">
        <f t="shared" si="4"/>
        <v>0</v>
      </c>
      <c r="V24" s="30">
        <f t="shared" si="4"/>
        <v>5339</v>
      </c>
      <c r="W24" s="30">
        <f t="shared" si="4"/>
        <v>0</v>
      </c>
      <c r="X24" s="30">
        <f t="shared" si="4"/>
        <v>0</v>
      </c>
      <c r="Y24" s="30">
        <f t="shared" si="4"/>
        <v>0</v>
      </c>
      <c r="Z24" s="30">
        <f t="shared" si="5"/>
        <v>0</v>
      </c>
      <c r="AA24" s="30">
        <f t="shared" si="6"/>
        <v>0</v>
      </c>
      <c r="AB24" s="30">
        <f t="shared" si="7"/>
        <v>0</v>
      </c>
      <c r="AC24" s="30">
        <f t="shared" si="8"/>
        <v>0</v>
      </c>
    </row>
    <row r="25" spans="1:29" x14ac:dyDescent="0.2">
      <c r="A25" s="29" t="s">
        <v>35</v>
      </c>
      <c r="B25" s="31">
        <f t="shared" si="4"/>
        <v>36273</v>
      </c>
      <c r="C25" s="31">
        <f t="shared" si="4"/>
        <v>0</v>
      </c>
      <c r="D25" s="31">
        <f t="shared" si="4"/>
        <v>0</v>
      </c>
      <c r="E25" s="31">
        <f t="shared" si="4"/>
        <v>0</v>
      </c>
      <c r="F25" s="31">
        <f t="shared" si="4"/>
        <v>7495</v>
      </c>
      <c r="G25" s="31">
        <f t="shared" si="4"/>
        <v>0</v>
      </c>
      <c r="H25" s="31">
        <f t="shared" si="4"/>
        <v>0</v>
      </c>
      <c r="I25" s="31">
        <f t="shared" si="4"/>
        <v>0</v>
      </c>
      <c r="J25" s="31">
        <f t="shared" si="4"/>
        <v>49333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25387</v>
      </c>
      <c r="O25" s="31">
        <f t="shared" si="4"/>
        <v>0</v>
      </c>
      <c r="P25" s="31">
        <f t="shared" si="4"/>
        <v>0</v>
      </c>
      <c r="Q25" s="31">
        <f t="shared" si="4"/>
        <v>0</v>
      </c>
      <c r="R25" s="31">
        <f t="shared" si="4"/>
        <v>1600</v>
      </c>
      <c r="S25" s="31">
        <f t="shared" si="4"/>
        <v>0</v>
      </c>
      <c r="T25" s="31">
        <f t="shared" si="4"/>
        <v>0</v>
      </c>
      <c r="U25" s="31">
        <f t="shared" si="4"/>
        <v>0</v>
      </c>
      <c r="V25" s="31">
        <f t="shared" si="4"/>
        <v>5959</v>
      </c>
      <c r="W25" s="31">
        <f t="shared" si="4"/>
        <v>0</v>
      </c>
      <c r="X25" s="31">
        <f t="shared" si="4"/>
        <v>0</v>
      </c>
      <c r="Y25" s="31">
        <f t="shared" si="4"/>
        <v>0</v>
      </c>
      <c r="Z25" s="31">
        <f t="shared" si="5"/>
        <v>0</v>
      </c>
      <c r="AA25" s="31">
        <f t="shared" si="6"/>
        <v>0</v>
      </c>
      <c r="AB25" s="31">
        <f t="shared" si="7"/>
        <v>0</v>
      </c>
      <c r="AC25" s="31">
        <f t="shared" si="8"/>
        <v>0</v>
      </c>
    </row>
    <row r="26" spans="1:29" x14ac:dyDescent="0.2">
      <c r="A26" s="29" t="s">
        <v>36</v>
      </c>
      <c r="B26" s="31">
        <f t="shared" si="4"/>
        <v>40183</v>
      </c>
      <c r="C26" s="31">
        <f t="shared" si="4"/>
        <v>0</v>
      </c>
      <c r="D26" s="31">
        <f t="shared" si="4"/>
        <v>0</v>
      </c>
      <c r="E26" s="31">
        <f t="shared" si="4"/>
        <v>0</v>
      </c>
      <c r="F26" s="31">
        <f t="shared" si="4"/>
        <v>8415</v>
      </c>
      <c r="G26" s="31">
        <f t="shared" si="4"/>
        <v>0</v>
      </c>
      <c r="H26" s="31">
        <f t="shared" si="4"/>
        <v>0</v>
      </c>
      <c r="I26" s="31">
        <f t="shared" si="4"/>
        <v>0</v>
      </c>
      <c r="J26" s="31">
        <f t="shared" si="4"/>
        <v>58436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26727</v>
      </c>
      <c r="O26" s="31">
        <f t="shared" si="4"/>
        <v>0</v>
      </c>
      <c r="P26" s="31">
        <f t="shared" si="4"/>
        <v>0</v>
      </c>
      <c r="Q26" s="31">
        <f t="shared" si="4"/>
        <v>0</v>
      </c>
      <c r="R26" s="31">
        <f t="shared" si="4"/>
        <v>1800</v>
      </c>
      <c r="S26" s="31">
        <f t="shared" si="4"/>
        <v>0</v>
      </c>
      <c r="T26" s="31">
        <f t="shared" si="4"/>
        <v>0</v>
      </c>
      <c r="U26" s="31">
        <f t="shared" si="4"/>
        <v>0</v>
      </c>
      <c r="V26" s="31">
        <f t="shared" si="4"/>
        <v>6579</v>
      </c>
      <c r="W26" s="31">
        <f t="shared" si="4"/>
        <v>0</v>
      </c>
      <c r="X26" s="31">
        <f t="shared" si="4"/>
        <v>0</v>
      </c>
      <c r="Y26" s="31">
        <f t="shared" si="4"/>
        <v>0</v>
      </c>
      <c r="Z26" s="31">
        <f t="shared" si="5"/>
        <v>0</v>
      </c>
      <c r="AA26" s="31">
        <f t="shared" si="6"/>
        <v>0</v>
      </c>
      <c r="AB26" s="31">
        <f t="shared" si="7"/>
        <v>0</v>
      </c>
      <c r="AC26" s="31">
        <f t="shared" si="8"/>
        <v>0</v>
      </c>
    </row>
    <row r="27" spans="1:29" x14ac:dyDescent="0.2">
      <c r="A27" s="12" t="s">
        <v>15</v>
      </c>
      <c r="B27" s="32">
        <f t="shared" si="4"/>
        <v>44188</v>
      </c>
      <c r="C27" s="32">
        <f t="shared" si="4"/>
        <v>0</v>
      </c>
      <c r="D27" s="32">
        <f t="shared" si="4"/>
        <v>0</v>
      </c>
      <c r="E27" s="32">
        <f t="shared" si="4"/>
        <v>0</v>
      </c>
      <c r="F27" s="32">
        <f t="shared" si="4"/>
        <v>9250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67616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28147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2000</v>
      </c>
      <c r="S27" s="32">
        <f t="shared" si="4"/>
        <v>0</v>
      </c>
      <c r="T27" s="32">
        <f t="shared" si="4"/>
        <v>0</v>
      </c>
      <c r="U27" s="32">
        <f t="shared" si="4"/>
        <v>0</v>
      </c>
      <c r="V27" s="32">
        <f t="shared" si="4"/>
        <v>7200</v>
      </c>
      <c r="W27" s="32">
        <f t="shared" si="4"/>
        <v>0</v>
      </c>
      <c r="X27" s="32">
        <f t="shared" si="4"/>
        <v>0</v>
      </c>
      <c r="Y27" s="32">
        <f t="shared" si="4"/>
        <v>0</v>
      </c>
      <c r="Z27" s="32">
        <f t="shared" si="5"/>
        <v>0</v>
      </c>
      <c r="AA27" s="32">
        <f t="shared" si="6"/>
        <v>0</v>
      </c>
      <c r="AB27" s="32">
        <f t="shared" si="7"/>
        <v>0</v>
      </c>
      <c r="AC27" s="32">
        <f t="shared" si="8"/>
        <v>0</v>
      </c>
    </row>
  </sheetData>
  <mergeCells count="11">
    <mergeCell ref="K2:M2"/>
    <mergeCell ref="C2:E2"/>
    <mergeCell ref="G2:I2"/>
    <mergeCell ref="B1:D1"/>
    <mergeCell ref="F1:H1"/>
    <mergeCell ref="W2:Y2"/>
    <mergeCell ref="AA2:AC2"/>
    <mergeCell ref="N1:P1"/>
    <mergeCell ref="R1:T1"/>
    <mergeCell ref="O2:Q2"/>
    <mergeCell ref="S2:U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H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2" bestFit="1" customWidth="1"/>
    <col min="5" max="5" width="12" customWidth="1"/>
    <col min="7" max="7" width="11" bestFit="1" customWidth="1"/>
    <col min="8" max="8" width="9.5703125" bestFit="1" customWidth="1"/>
    <col min="9" max="9" width="9.5703125" customWidth="1"/>
    <col min="12" max="12" width="12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280</v>
      </c>
      <c r="C4" s="22"/>
      <c r="D4" s="22"/>
      <c r="E4" s="22"/>
      <c r="F4" s="22">
        <v>390</v>
      </c>
      <c r="G4" s="22"/>
      <c r="H4" s="22"/>
      <c r="I4" s="125"/>
      <c r="J4" s="22">
        <v>797</v>
      </c>
      <c r="K4" s="22"/>
      <c r="L4" s="22"/>
      <c r="M4" s="22"/>
      <c r="N4" s="22">
        <v>954</v>
      </c>
      <c r="O4" s="22"/>
      <c r="P4" s="22"/>
      <c r="Q4" s="22"/>
      <c r="R4" s="22">
        <v>60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290</v>
      </c>
      <c r="C5" s="22"/>
      <c r="D5" s="22"/>
      <c r="E5" s="22"/>
      <c r="F5" s="22">
        <v>405</v>
      </c>
      <c r="G5" s="22"/>
      <c r="H5" s="22"/>
      <c r="I5" s="125"/>
      <c r="J5" s="22">
        <v>952</v>
      </c>
      <c r="K5" s="22"/>
      <c r="L5" s="22"/>
      <c r="M5" s="22"/>
      <c r="N5" s="22">
        <v>1150</v>
      </c>
      <c r="O5" s="22"/>
      <c r="P5" s="22"/>
      <c r="Q5" s="22"/>
      <c r="R5" s="22">
        <v>70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300</v>
      </c>
      <c r="C6" s="22"/>
      <c r="D6" s="22"/>
      <c r="E6" s="22"/>
      <c r="F6" s="22">
        <v>420</v>
      </c>
      <c r="G6" s="22"/>
      <c r="H6" s="22"/>
      <c r="I6" s="125"/>
      <c r="J6" s="22">
        <v>1017</v>
      </c>
      <c r="K6" s="22"/>
      <c r="L6" s="22"/>
      <c r="M6" s="22"/>
      <c r="N6" s="22">
        <v>1223</v>
      </c>
      <c r="O6" s="22"/>
      <c r="P6" s="22"/>
      <c r="Q6" s="22"/>
      <c r="R6" s="22">
        <v>80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300</v>
      </c>
      <c r="C7" s="22"/>
      <c r="D7" s="22"/>
      <c r="E7" s="22"/>
      <c r="F7" s="22">
        <v>420</v>
      </c>
      <c r="G7" s="22"/>
      <c r="H7" s="22"/>
      <c r="I7" s="125"/>
      <c r="J7" s="22">
        <v>1100</v>
      </c>
      <c r="K7" s="22"/>
      <c r="L7" s="22"/>
      <c r="M7" s="22"/>
      <c r="N7" s="22">
        <v>1325</v>
      </c>
      <c r="O7" s="22"/>
      <c r="P7" s="22"/>
      <c r="Q7" s="22"/>
      <c r="R7" s="22">
        <v>90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300</v>
      </c>
      <c r="C8" s="22"/>
      <c r="D8" s="22"/>
      <c r="E8" s="22"/>
      <c r="F8" s="22">
        <v>420</v>
      </c>
      <c r="G8" s="22"/>
      <c r="H8" s="22"/>
      <c r="I8" s="125"/>
      <c r="J8" s="22">
        <v>981</v>
      </c>
      <c r="K8" s="22"/>
      <c r="L8" s="22"/>
      <c r="M8" s="22"/>
      <c r="N8" s="22">
        <v>1184</v>
      </c>
      <c r="O8" s="22"/>
      <c r="P8" s="22"/>
      <c r="Q8" s="22"/>
      <c r="R8" s="22">
        <v>80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300</v>
      </c>
      <c r="C9" s="22"/>
      <c r="D9" s="22"/>
      <c r="E9" s="22"/>
      <c r="F9" s="22">
        <v>420</v>
      </c>
      <c r="G9" s="22"/>
      <c r="H9" s="22"/>
      <c r="I9" s="125"/>
      <c r="J9" s="22">
        <v>1040</v>
      </c>
      <c r="K9" s="22"/>
      <c r="L9" s="22"/>
      <c r="M9" s="22"/>
      <c r="N9" s="22">
        <v>1253</v>
      </c>
      <c r="O9" s="22"/>
      <c r="P9" s="22"/>
      <c r="Q9" s="22"/>
      <c r="R9" s="22">
        <v>80</v>
      </c>
      <c r="S9" s="22"/>
      <c r="T9" s="22"/>
      <c r="U9" s="22"/>
      <c r="V9" s="22">
        <v>1285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300</v>
      </c>
      <c r="C10" s="22"/>
      <c r="D10" s="22"/>
      <c r="E10" s="22"/>
      <c r="F10" s="22">
        <v>420</v>
      </c>
      <c r="G10" s="22"/>
      <c r="H10" s="22"/>
      <c r="I10" s="125"/>
      <c r="J10" s="22">
        <v>2675</v>
      </c>
      <c r="K10" s="22"/>
      <c r="L10" s="22"/>
      <c r="M10" s="22"/>
      <c r="N10" s="22">
        <v>913</v>
      </c>
      <c r="O10" s="22"/>
      <c r="P10" s="22"/>
      <c r="Q10" s="22"/>
      <c r="R10" s="22">
        <v>90</v>
      </c>
      <c r="S10" s="22"/>
      <c r="T10" s="22"/>
      <c r="U10" s="22"/>
      <c r="V10" s="22">
        <v>211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270</v>
      </c>
      <c r="C11" s="22"/>
      <c r="D11" s="22"/>
      <c r="E11" s="22"/>
      <c r="F11" s="22">
        <v>420</v>
      </c>
      <c r="G11" s="22"/>
      <c r="H11" s="22"/>
      <c r="I11" s="125"/>
      <c r="J11" s="22">
        <v>2517</v>
      </c>
      <c r="K11" s="22"/>
      <c r="L11" s="22"/>
      <c r="M11" s="22"/>
      <c r="N11" s="22">
        <v>862</v>
      </c>
      <c r="O11" s="22"/>
      <c r="P11" s="22"/>
      <c r="Q11" s="22"/>
      <c r="R11" s="22">
        <v>80</v>
      </c>
      <c r="S11" s="22"/>
      <c r="T11" s="22"/>
      <c r="U11" s="22"/>
      <c r="V11" s="22">
        <v>199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270</v>
      </c>
      <c r="C12" s="22"/>
      <c r="D12" s="22"/>
      <c r="E12" s="22"/>
      <c r="F12" s="22">
        <v>425</v>
      </c>
      <c r="G12" s="22"/>
      <c r="H12" s="22"/>
      <c r="I12" s="125"/>
      <c r="J12" s="22">
        <v>2675</v>
      </c>
      <c r="K12" s="22"/>
      <c r="L12" s="22"/>
      <c r="M12" s="22"/>
      <c r="N12" s="22">
        <v>900</v>
      </c>
      <c r="O12" s="22"/>
      <c r="P12" s="22"/>
      <c r="Q12" s="22"/>
      <c r="R12" s="22">
        <v>90</v>
      </c>
      <c r="S12" s="22"/>
      <c r="T12" s="22"/>
      <c r="U12" s="22"/>
      <c r="V12" s="22">
        <v>211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270</v>
      </c>
      <c r="C13" s="22"/>
      <c r="D13" s="22"/>
      <c r="E13" s="22"/>
      <c r="F13" s="22">
        <v>420</v>
      </c>
      <c r="G13" s="22"/>
      <c r="H13" s="22"/>
      <c r="I13" s="125"/>
      <c r="J13" s="22">
        <v>2675</v>
      </c>
      <c r="K13" s="22"/>
      <c r="L13" s="22"/>
      <c r="M13" s="22"/>
      <c r="N13" s="22">
        <v>928</v>
      </c>
      <c r="O13" s="22"/>
      <c r="P13" s="22"/>
      <c r="Q13" s="22"/>
      <c r="R13" s="22">
        <v>90</v>
      </c>
      <c r="S13" s="22"/>
      <c r="T13" s="22"/>
      <c r="U13" s="22"/>
      <c r="V13" s="22">
        <v>211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270</v>
      </c>
      <c r="C14" s="22"/>
      <c r="D14" s="22"/>
      <c r="E14" s="22"/>
      <c r="F14" s="22">
        <v>420</v>
      </c>
      <c r="G14" s="22"/>
      <c r="H14" s="22"/>
      <c r="I14" s="125"/>
      <c r="J14" s="22">
        <v>2517</v>
      </c>
      <c r="K14" s="22"/>
      <c r="L14" s="22"/>
      <c r="M14" s="22"/>
      <c r="N14" s="22">
        <v>873</v>
      </c>
      <c r="O14" s="22"/>
      <c r="P14" s="22"/>
      <c r="Q14" s="22"/>
      <c r="R14" s="22">
        <v>90</v>
      </c>
      <c r="S14" s="22"/>
      <c r="T14" s="22"/>
      <c r="U14" s="22"/>
      <c r="V14" s="22">
        <v>199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270</v>
      </c>
      <c r="C15" s="22"/>
      <c r="D15" s="22"/>
      <c r="E15" s="22"/>
      <c r="F15" s="22">
        <v>420</v>
      </c>
      <c r="G15" s="22"/>
      <c r="H15" s="22"/>
      <c r="I15" s="125"/>
      <c r="J15" s="22">
        <v>2666</v>
      </c>
      <c r="K15" s="22"/>
      <c r="L15" s="22"/>
      <c r="M15" s="22"/>
      <c r="N15" s="22">
        <v>959</v>
      </c>
      <c r="O15" s="22"/>
      <c r="P15" s="22"/>
      <c r="Q15" s="22"/>
      <c r="R15" s="22">
        <v>100</v>
      </c>
      <c r="S15" s="22"/>
      <c r="T15" s="22"/>
      <c r="U15" s="22"/>
      <c r="V15" s="22">
        <v>213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3420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5000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21612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12524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1000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2529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570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795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1749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2104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130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37</v>
      </c>
      <c r="B18" s="30">
        <f t="shared" ref="B18:AC27" si="2">B17+B6</f>
        <v>870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1215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2766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3327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210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1170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1635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3866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4652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300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1470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2055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4847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5836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380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1770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2475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5887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7089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460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1285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2070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2895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8562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8002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550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1496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2340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3315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11079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8864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630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1695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2610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3740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13754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9764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720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1906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2880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4160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16429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10692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810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2117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3150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4580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18946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11565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900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2316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3420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5000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21612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12524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1000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2529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" right="0" top="0" bottom="0" header="0.51181102362204722" footer="0.51181102362204722"/>
  <pageSetup paperSize="9" scale="4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workbookViewId="0">
      <pane xSplit="1" ySplit="3" topLeftCell="I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11.28515625" customWidth="1"/>
    <col min="3" max="4" width="12.5703125" bestFit="1" customWidth="1"/>
    <col min="5" max="5" width="12.5703125" customWidth="1"/>
    <col min="7" max="7" width="11" bestFit="1" customWidth="1"/>
    <col min="8" max="8" width="10.5703125" bestFit="1" customWidth="1"/>
    <col min="9" max="9" width="10.5703125" customWidth="1"/>
    <col min="12" max="12" width="11" bestFit="1" customWidth="1"/>
  </cols>
  <sheetData>
    <row r="1" spans="1:33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  <c r="AD1" s="19"/>
      <c r="AE1" s="118" t="s">
        <v>194</v>
      </c>
      <c r="AF1" s="119"/>
    </row>
    <row r="2" spans="1:33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  <c r="AD2" s="5" t="s">
        <v>6</v>
      </c>
      <c r="AE2" s="359" t="s">
        <v>25</v>
      </c>
      <c r="AF2" s="358"/>
      <c r="AG2" s="362"/>
    </row>
    <row r="3" spans="1:33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  <c r="AD3" s="1"/>
      <c r="AE3" s="15" t="s">
        <v>27</v>
      </c>
      <c r="AF3" s="15" t="s">
        <v>26</v>
      </c>
      <c r="AG3" s="115" t="s">
        <v>105</v>
      </c>
    </row>
    <row r="4" spans="1:33" x14ac:dyDescent="0.2">
      <c r="A4" s="1" t="s">
        <v>4</v>
      </c>
      <c r="B4" s="22">
        <v>7871</v>
      </c>
      <c r="C4" s="22"/>
      <c r="D4" s="22"/>
      <c r="E4" s="22"/>
      <c r="F4" s="22">
        <v>1431</v>
      </c>
      <c r="G4" s="22"/>
      <c r="H4" s="22"/>
      <c r="I4" s="125"/>
      <c r="J4" s="22">
        <v>5078</v>
      </c>
      <c r="K4" s="22"/>
      <c r="L4" s="22"/>
      <c r="M4" s="22"/>
      <c r="N4" s="22">
        <v>6032</v>
      </c>
      <c r="O4" s="22"/>
      <c r="P4" s="22"/>
      <c r="Q4" s="22"/>
      <c r="R4" s="22">
        <v>690</v>
      </c>
      <c r="S4" s="22"/>
      <c r="T4" s="22"/>
      <c r="U4" s="22"/>
      <c r="V4" s="22">
        <v>1386</v>
      </c>
      <c r="W4" s="22"/>
      <c r="X4" s="22"/>
      <c r="Y4" s="22"/>
      <c r="Z4" s="22">
        <v>110</v>
      </c>
      <c r="AA4" s="22"/>
      <c r="AB4" s="22"/>
      <c r="AC4" s="22"/>
      <c r="AD4" s="22"/>
      <c r="AE4" s="22"/>
      <c r="AF4" s="22"/>
      <c r="AG4" s="22"/>
    </row>
    <row r="5" spans="1:33" x14ac:dyDescent="0.2">
      <c r="A5" s="1" t="s">
        <v>7</v>
      </c>
      <c r="B5" s="22">
        <v>8876</v>
      </c>
      <c r="C5" s="22"/>
      <c r="D5" s="22"/>
      <c r="E5" s="22"/>
      <c r="F5" s="22">
        <v>1461</v>
      </c>
      <c r="G5" s="22"/>
      <c r="H5" s="22"/>
      <c r="I5" s="125"/>
      <c r="J5" s="22">
        <v>6433</v>
      </c>
      <c r="K5" s="22"/>
      <c r="L5" s="22"/>
      <c r="M5" s="22"/>
      <c r="N5" s="22">
        <v>7707</v>
      </c>
      <c r="O5" s="22"/>
      <c r="P5" s="22"/>
      <c r="Q5" s="22"/>
      <c r="R5" s="22">
        <v>909</v>
      </c>
      <c r="S5" s="22"/>
      <c r="T5" s="22"/>
      <c r="U5" s="22"/>
      <c r="V5" s="22">
        <v>1187</v>
      </c>
      <c r="W5" s="22"/>
      <c r="X5" s="22"/>
      <c r="Y5" s="22"/>
      <c r="Z5" s="22">
        <v>110</v>
      </c>
      <c r="AA5" s="22"/>
      <c r="AB5" s="22"/>
      <c r="AC5" s="22"/>
      <c r="AD5" s="22"/>
      <c r="AE5" s="22"/>
      <c r="AF5" s="22"/>
      <c r="AG5" s="22"/>
    </row>
    <row r="6" spans="1:33" x14ac:dyDescent="0.2">
      <c r="A6" s="1" t="s">
        <v>8</v>
      </c>
      <c r="B6" s="22">
        <v>9828</v>
      </c>
      <c r="C6" s="22"/>
      <c r="D6" s="22"/>
      <c r="E6" s="22"/>
      <c r="F6" s="22">
        <v>1469</v>
      </c>
      <c r="G6" s="22"/>
      <c r="H6" s="22"/>
      <c r="I6" s="125"/>
      <c r="J6" s="22">
        <v>6675</v>
      </c>
      <c r="K6" s="22"/>
      <c r="L6" s="22"/>
      <c r="M6" s="22"/>
      <c r="N6" s="22">
        <v>8120</v>
      </c>
      <c r="O6" s="22"/>
      <c r="P6" s="22"/>
      <c r="Q6" s="22"/>
      <c r="R6" s="22">
        <v>902</v>
      </c>
      <c r="S6" s="22"/>
      <c r="T6" s="22"/>
      <c r="U6" s="22"/>
      <c r="V6" s="22">
        <v>1184</v>
      </c>
      <c r="W6" s="22"/>
      <c r="X6" s="22"/>
      <c r="Y6" s="22"/>
      <c r="Z6" s="22">
        <v>111</v>
      </c>
      <c r="AA6" s="22"/>
      <c r="AB6" s="22"/>
      <c r="AC6" s="22"/>
      <c r="AD6" s="22"/>
      <c r="AE6" s="22"/>
      <c r="AF6" s="22"/>
      <c r="AG6" s="22"/>
    </row>
    <row r="7" spans="1:33" x14ac:dyDescent="0.2">
      <c r="A7" s="1" t="s">
        <v>16</v>
      </c>
      <c r="B7" s="22">
        <v>9787</v>
      </c>
      <c r="C7" s="22"/>
      <c r="D7" s="22"/>
      <c r="E7" s="22"/>
      <c r="F7" s="22">
        <v>1472</v>
      </c>
      <c r="G7" s="22"/>
      <c r="H7" s="22"/>
      <c r="I7" s="125"/>
      <c r="J7" s="22">
        <v>6587</v>
      </c>
      <c r="K7" s="22"/>
      <c r="L7" s="22"/>
      <c r="M7" s="22"/>
      <c r="N7" s="22">
        <v>7770</v>
      </c>
      <c r="O7" s="22"/>
      <c r="P7" s="22"/>
      <c r="Q7" s="22"/>
      <c r="R7" s="22">
        <v>907</v>
      </c>
      <c r="S7" s="22"/>
      <c r="T7" s="22"/>
      <c r="U7" s="22"/>
      <c r="V7" s="22">
        <v>1127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x14ac:dyDescent="0.2">
      <c r="A8" s="1" t="s">
        <v>17</v>
      </c>
      <c r="B8" s="22">
        <v>8806</v>
      </c>
      <c r="C8" s="22"/>
      <c r="D8" s="22"/>
      <c r="E8" s="22"/>
      <c r="F8" s="22">
        <v>1392</v>
      </c>
      <c r="G8" s="22"/>
      <c r="H8" s="22"/>
      <c r="I8" s="125"/>
      <c r="J8" s="22">
        <v>5599</v>
      </c>
      <c r="K8" s="22"/>
      <c r="L8" s="22"/>
      <c r="M8" s="22"/>
      <c r="N8" s="22">
        <v>6693</v>
      </c>
      <c r="O8" s="22"/>
      <c r="P8" s="22"/>
      <c r="Q8" s="22"/>
      <c r="R8" s="22">
        <v>1021</v>
      </c>
      <c r="S8" s="22"/>
      <c r="T8" s="22"/>
      <c r="U8" s="22"/>
      <c r="V8" s="22">
        <v>1127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x14ac:dyDescent="0.2">
      <c r="A9" s="1" t="s">
        <v>18</v>
      </c>
      <c r="B9" s="22">
        <v>9010</v>
      </c>
      <c r="C9" s="22"/>
      <c r="D9" s="22"/>
      <c r="E9" s="22"/>
      <c r="F9" s="22">
        <v>1449</v>
      </c>
      <c r="G9" s="22"/>
      <c r="H9" s="22"/>
      <c r="I9" s="125"/>
      <c r="J9" s="22">
        <v>5207</v>
      </c>
      <c r="K9" s="22"/>
      <c r="L9" s="22"/>
      <c r="M9" s="22"/>
      <c r="N9" s="22">
        <v>6220</v>
      </c>
      <c r="O9" s="22"/>
      <c r="P9" s="22"/>
      <c r="Q9" s="22"/>
      <c r="R9" s="22">
        <v>967</v>
      </c>
      <c r="S9" s="22"/>
      <c r="T9" s="22"/>
      <c r="U9" s="22"/>
      <c r="V9" s="22">
        <v>1077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x14ac:dyDescent="0.2">
      <c r="A10" s="82" t="s">
        <v>19</v>
      </c>
      <c r="B10" s="22">
        <v>9202</v>
      </c>
      <c r="C10" s="22"/>
      <c r="D10" s="22"/>
      <c r="E10" s="22"/>
      <c r="F10" s="22">
        <v>1264</v>
      </c>
      <c r="G10" s="22"/>
      <c r="H10" s="22"/>
      <c r="I10" s="125"/>
      <c r="J10" s="22">
        <v>19545</v>
      </c>
      <c r="K10" s="22"/>
      <c r="L10" s="22"/>
      <c r="M10" s="22"/>
      <c r="N10" s="22">
        <v>2378</v>
      </c>
      <c r="O10" s="22"/>
      <c r="P10" s="22"/>
      <c r="Q10" s="22"/>
      <c r="R10" s="22">
        <v>647</v>
      </c>
      <c r="S10" s="22"/>
      <c r="T10" s="22"/>
      <c r="U10" s="22"/>
      <c r="V10" s="22">
        <v>1027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x14ac:dyDescent="0.2">
      <c r="A11" s="1" t="s">
        <v>10</v>
      </c>
      <c r="B11" s="22">
        <v>9247</v>
      </c>
      <c r="C11" s="22"/>
      <c r="D11" s="22"/>
      <c r="E11" s="22"/>
      <c r="F11" s="22">
        <v>1444</v>
      </c>
      <c r="G11" s="22"/>
      <c r="H11" s="22"/>
      <c r="I11" s="125"/>
      <c r="J11" s="22">
        <v>18882</v>
      </c>
      <c r="K11" s="22"/>
      <c r="L11" s="22"/>
      <c r="M11" s="22"/>
      <c r="N11" s="22">
        <v>2572</v>
      </c>
      <c r="O11" s="22"/>
      <c r="P11" s="22"/>
      <c r="Q11" s="22"/>
      <c r="R11" s="22">
        <v>721</v>
      </c>
      <c r="S11" s="22"/>
      <c r="T11" s="22"/>
      <c r="U11" s="22"/>
      <c r="V11" s="22">
        <v>1052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x14ac:dyDescent="0.2">
      <c r="A12" s="1" t="s">
        <v>11</v>
      </c>
      <c r="B12" s="22">
        <v>8645</v>
      </c>
      <c r="C12" s="22"/>
      <c r="D12" s="22"/>
      <c r="E12" s="22"/>
      <c r="F12" s="22">
        <v>1179</v>
      </c>
      <c r="G12" s="22"/>
      <c r="H12" s="22"/>
      <c r="I12" s="125"/>
      <c r="J12" s="22">
        <v>19039</v>
      </c>
      <c r="K12" s="22"/>
      <c r="L12" s="22"/>
      <c r="M12" s="22"/>
      <c r="N12" s="22">
        <v>3001</v>
      </c>
      <c r="O12" s="22"/>
      <c r="P12" s="22"/>
      <c r="Q12" s="22"/>
      <c r="R12" s="22">
        <v>780</v>
      </c>
      <c r="S12" s="22"/>
      <c r="T12" s="22"/>
      <c r="U12" s="22"/>
      <c r="V12" s="22">
        <v>1042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x14ac:dyDescent="0.2">
      <c r="A13" s="1" t="s">
        <v>12</v>
      </c>
      <c r="B13" s="22">
        <v>9426</v>
      </c>
      <c r="C13" s="22"/>
      <c r="D13" s="22"/>
      <c r="E13" s="22"/>
      <c r="F13" s="22">
        <v>1471</v>
      </c>
      <c r="G13" s="22"/>
      <c r="H13" s="22"/>
      <c r="I13" s="125"/>
      <c r="J13" s="22">
        <v>20544</v>
      </c>
      <c r="K13" s="22"/>
      <c r="L13" s="22"/>
      <c r="M13" s="22"/>
      <c r="N13" s="22">
        <v>4011</v>
      </c>
      <c r="O13" s="22"/>
      <c r="P13" s="22"/>
      <c r="Q13" s="22"/>
      <c r="R13" s="22">
        <v>813</v>
      </c>
      <c r="S13" s="22"/>
      <c r="T13" s="22"/>
      <c r="U13" s="22"/>
      <c r="V13" s="22">
        <v>1145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x14ac:dyDescent="0.2">
      <c r="A14" s="1" t="s">
        <v>13</v>
      </c>
      <c r="B14" s="22">
        <v>9520</v>
      </c>
      <c r="C14" s="22"/>
      <c r="D14" s="22"/>
      <c r="E14" s="22"/>
      <c r="F14" s="22">
        <v>1483</v>
      </c>
      <c r="G14" s="22"/>
      <c r="H14" s="22"/>
      <c r="I14" s="125"/>
      <c r="J14" s="22">
        <v>20723</v>
      </c>
      <c r="K14" s="22"/>
      <c r="L14" s="22"/>
      <c r="M14" s="22"/>
      <c r="N14" s="22">
        <v>4272</v>
      </c>
      <c r="O14" s="22"/>
      <c r="P14" s="22"/>
      <c r="Q14" s="22"/>
      <c r="R14" s="22">
        <v>841</v>
      </c>
      <c r="S14" s="22"/>
      <c r="T14" s="22"/>
      <c r="U14" s="22"/>
      <c r="V14" s="22">
        <v>1174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x14ac:dyDescent="0.2">
      <c r="A15" s="1" t="s">
        <v>14</v>
      </c>
      <c r="B15" s="22">
        <v>9145</v>
      </c>
      <c r="C15" s="22"/>
      <c r="D15" s="22"/>
      <c r="E15" s="22"/>
      <c r="F15" s="22">
        <v>1485</v>
      </c>
      <c r="G15" s="22"/>
      <c r="H15" s="22"/>
      <c r="I15" s="125"/>
      <c r="J15" s="22">
        <v>20426</v>
      </c>
      <c r="K15" s="22"/>
      <c r="L15" s="22"/>
      <c r="M15" s="22"/>
      <c r="N15" s="22">
        <v>4077</v>
      </c>
      <c r="O15" s="22"/>
      <c r="P15" s="22"/>
      <c r="Q15" s="22"/>
      <c r="R15" s="22">
        <v>802</v>
      </c>
      <c r="S15" s="22"/>
      <c r="T15" s="22"/>
      <c r="U15" s="22"/>
      <c r="V15" s="22">
        <v>1278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A16" s="1" t="s">
        <v>6</v>
      </c>
      <c r="B16" s="22">
        <f>SUM(B4:B15)</f>
        <v>109363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17000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154738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62853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10000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13806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331</v>
      </c>
      <c r="AA16" s="22">
        <f t="shared" si="0"/>
        <v>0</v>
      </c>
      <c r="AB16" s="22">
        <f t="shared" si="0"/>
        <v>0</v>
      </c>
      <c r="AC16" s="22">
        <f t="shared" si="0"/>
        <v>0</v>
      </c>
      <c r="AD16" s="22">
        <f>SUM(AD4:AD15)</f>
        <v>0</v>
      </c>
      <c r="AE16" s="22">
        <f>SUM(AE4:AE15)</f>
        <v>0</v>
      </c>
      <c r="AF16" s="22">
        <f>SUM(AF4:AF15)</f>
        <v>0</v>
      </c>
      <c r="AG16" s="22">
        <f>SUM(AG4:AG15)</f>
        <v>0</v>
      </c>
    </row>
    <row r="17" spans="1:33" x14ac:dyDescent="0.2">
      <c r="A17" s="28" t="s">
        <v>28</v>
      </c>
      <c r="B17" s="30">
        <f>B4+B5</f>
        <v>16747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2892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11511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13739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1599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2573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220</v>
      </c>
      <c r="AA17" s="30">
        <f t="shared" si="1"/>
        <v>0</v>
      </c>
      <c r="AB17" s="30">
        <f t="shared" si="1"/>
        <v>0</v>
      </c>
      <c r="AC17" s="30">
        <f t="shared" si="1"/>
        <v>0</v>
      </c>
      <c r="AD17" s="30">
        <f>AD4+AD5</f>
        <v>0</v>
      </c>
      <c r="AE17" s="30">
        <f>AE4+AE5</f>
        <v>0</v>
      </c>
      <c r="AF17" s="30">
        <f>AF4+AF5</f>
        <v>0</v>
      </c>
      <c r="AG17" s="30">
        <f>AG4+AG5</f>
        <v>0</v>
      </c>
    </row>
    <row r="18" spans="1:33" x14ac:dyDescent="0.2">
      <c r="A18" s="28" t="s">
        <v>96</v>
      </c>
      <c r="B18" s="30">
        <f t="shared" ref="B18:AC27" si="2">B17+B6</f>
        <v>26575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4361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18186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21859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2501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3757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331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ref="AD18:AG27" si="3">AD17+AD6</f>
        <v>0</v>
      </c>
      <c r="AE18" s="30">
        <f t="shared" si="3"/>
        <v>0</v>
      </c>
      <c r="AF18" s="30">
        <f t="shared" si="3"/>
        <v>0</v>
      </c>
      <c r="AG18" s="30">
        <f t="shared" si="3"/>
        <v>0</v>
      </c>
    </row>
    <row r="19" spans="1:33" x14ac:dyDescent="0.2">
      <c r="A19" s="28" t="s">
        <v>29</v>
      </c>
      <c r="B19" s="30">
        <f t="shared" si="2"/>
        <v>36362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5833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24773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29629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3408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4884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331</v>
      </c>
      <c r="AA19" s="30">
        <f t="shared" si="2"/>
        <v>0</v>
      </c>
      <c r="AB19" s="30">
        <f t="shared" si="2"/>
        <v>0</v>
      </c>
      <c r="AC19" s="30">
        <f t="shared" si="2"/>
        <v>0</v>
      </c>
      <c r="AD19" s="30">
        <f t="shared" si="3"/>
        <v>0</v>
      </c>
      <c r="AE19" s="30">
        <f t="shared" si="3"/>
        <v>0</v>
      </c>
      <c r="AF19" s="30">
        <f t="shared" si="3"/>
        <v>0</v>
      </c>
      <c r="AG19" s="30">
        <f t="shared" si="3"/>
        <v>0</v>
      </c>
    </row>
    <row r="20" spans="1:33" x14ac:dyDescent="0.2">
      <c r="A20" s="28" t="s">
        <v>30</v>
      </c>
      <c r="B20" s="30">
        <f t="shared" si="2"/>
        <v>45168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7225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30372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36322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4429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6011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331</v>
      </c>
      <c r="AA20" s="30">
        <f t="shared" si="2"/>
        <v>0</v>
      </c>
      <c r="AB20" s="30">
        <f t="shared" si="2"/>
        <v>0</v>
      </c>
      <c r="AC20" s="30">
        <f t="shared" si="2"/>
        <v>0</v>
      </c>
      <c r="AD20" s="30">
        <f t="shared" si="3"/>
        <v>0</v>
      </c>
      <c r="AE20" s="30">
        <f t="shared" si="3"/>
        <v>0</v>
      </c>
      <c r="AF20" s="30">
        <f t="shared" si="3"/>
        <v>0</v>
      </c>
      <c r="AG20" s="30">
        <f t="shared" si="3"/>
        <v>0</v>
      </c>
    </row>
    <row r="21" spans="1:33" x14ac:dyDescent="0.2">
      <c r="A21" s="28" t="s">
        <v>31</v>
      </c>
      <c r="B21" s="30">
        <f t="shared" si="2"/>
        <v>54178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8674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35579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42542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5396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7088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331</v>
      </c>
      <c r="AA21" s="30">
        <f t="shared" si="2"/>
        <v>0</v>
      </c>
      <c r="AB21" s="30">
        <f t="shared" si="2"/>
        <v>0</v>
      </c>
      <c r="AC21" s="30">
        <f t="shared" si="2"/>
        <v>0</v>
      </c>
      <c r="AD21" s="30">
        <f t="shared" si="3"/>
        <v>0</v>
      </c>
      <c r="AE21" s="30">
        <f t="shared" si="3"/>
        <v>0</v>
      </c>
      <c r="AF21" s="30">
        <f t="shared" si="3"/>
        <v>0</v>
      </c>
      <c r="AG21" s="30">
        <f t="shared" si="3"/>
        <v>0</v>
      </c>
    </row>
    <row r="22" spans="1:33" x14ac:dyDescent="0.2">
      <c r="A22" s="28" t="s">
        <v>32</v>
      </c>
      <c r="B22" s="30">
        <f t="shared" si="2"/>
        <v>63380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9938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55124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44920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6043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8115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331</v>
      </c>
      <c r="AA22" s="30">
        <f t="shared" si="2"/>
        <v>0</v>
      </c>
      <c r="AB22" s="30">
        <f t="shared" si="2"/>
        <v>0</v>
      </c>
      <c r="AC22" s="30">
        <f t="shared" si="2"/>
        <v>0</v>
      </c>
      <c r="AD22" s="30">
        <f t="shared" si="3"/>
        <v>0</v>
      </c>
      <c r="AE22" s="30">
        <f t="shared" si="3"/>
        <v>0</v>
      </c>
      <c r="AF22" s="30">
        <f t="shared" si="3"/>
        <v>0</v>
      </c>
      <c r="AG22" s="30">
        <f t="shared" si="3"/>
        <v>0</v>
      </c>
    </row>
    <row r="23" spans="1:33" x14ac:dyDescent="0.2">
      <c r="A23" s="28" t="s">
        <v>33</v>
      </c>
      <c r="B23" s="30">
        <f t="shared" si="2"/>
        <v>72627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11382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74006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47492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6764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9167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331</v>
      </c>
      <c r="AA23" s="30">
        <f t="shared" si="2"/>
        <v>0</v>
      </c>
      <c r="AB23" s="30">
        <f t="shared" si="2"/>
        <v>0</v>
      </c>
      <c r="AC23" s="30">
        <f t="shared" si="2"/>
        <v>0</v>
      </c>
      <c r="AD23" s="30">
        <f t="shared" si="3"/>
        <v>0</v>
      </c>
      <c r="AE23" s="30">
        <f t="shared" si="3"/>
        <v>0</v>
      </c>
      <c r="AF23" s="30">
        <f t="shared" si="3"/>
        <v>0</v>
      </c>
      <c r="AG23" s="30">
        <f t="shared" si="3"/>
        <v>0</v>
      </c>
    </row>
    <row r="24" spans="1:33" x14ac:dyDescent="0.2">
      <c r="A24" s="28" t="s">
        <v>34</v>
      </c>
      <c r="B24" s="30">
        <f t="shared" si="2"/>
        <v>81272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12561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93045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50493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7544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10209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331</v>
      </c>
      <c r="AA24" s="30">
        <f t="shared" si="2"/>
        <v>0</v>
      </c>
      <c r="AB24" s="30">
        <f t="shared" si="2"/>
        <v>0</v>
      </c>
      <c r="AC24" s="30">
        <f t="shared" si="2"/>
        <v>0</v>
      </c>
      <c r="AD24" s="30">
        <f t="shared" si="3"/>
        <v>0</v>
      </c>
      <c r="AE24" s="30">
        <f t="shared" si="3"/>
        <v>0</v>
      </c>
      <c r="AF24" s="30">
        <f t="shared" si="3"/>
        <v>0</v>
      </c>
      <c r="AG24" s="30">
        <f t="shared" si="3"/>
        <v>0</v>
      </c>
    </row>
    <row r="25" spans="1:33" x14ac:dyDescent="0.2">
      <c r="A25" s="29" t="s">
        <v>35</v>
      </c>
      <c r="B25" s="30">
        <f t="shared" si="2"/>
        <v>90698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14032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113589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54504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8357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11354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331</v>
      </c>
      <c r="AA25" s="30">
        <f t="shared" si="2"/>
        <v>0</v>
      </c>
      <c r="AB25" s="30">
        <f t="shared" si="2"/>
        <v>0</v>
      </c>
      <c r="AC25" s="30">
        <f t="shared" si="2"/>
        <v>0</v>
      </c>
      <c r="AD25" s="30">
        <f t="shared" si="3"/>
        <v>0</v>
      </c>
      <c r="AE25" s="30">
        <f t="shared" si="3"/>
        <v>0</v>
      </c>
      <c r="AF25" s="30">
        <f t="shared" si="3"/>
        <v>0</v>
      </c>
      <c r="AG25" s="30">
        <f t="shared" si="3"/>
        <v>0</v>
      </c>
    </row>
    <row r="26" spans="1:33" x14ac:dyDescent="0.2">
      <c r="A26" s="29" t="s">
        <v>36</v>
      </c>
      <c r="B26" s="30">
        <f t="shared" si="2"/>
        <v>100218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15515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134312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58776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9198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12528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331</v>
      </c>
      <c r="AA26" s="30">
        <f t="shared" si="2"/>
        <v>0</v>
      </c>
      <c r="AB26" s="30">
        <f t="shared" si="2"/>
        <v>0</v>
      </c>
      <c r="AC26" s="30">
        <f t="shared" si="2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</row>
    <row r="27" spans="1:33" x14ac:dyDescent="0.2">
      <c r="A27" s="12" t="s">
        <v>15</v>
      </c>
      <c r="B27" s="32">
        <f t="shared" si="2"/>
        <v>109363</v>
      </c>
      <c r="C27" s="32">
        <f t="shared" si="2"/>
        <v>0</v>
      </c>
      <c r="D27" s="32">
        <f t="shared" si="2"/>
        <v>0</v>
      </c>
      <c r="E27" s="32">
        <f t="shared" ref="E27:AC27" si="4">E26+E15</f>
        <v>0</v>
      </c>
      <c r="F27" s="32">
        <f t="shared" si="4"/>
        <v>17000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154738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62853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10000</v>
      </c>
      <c r="S27" s="32">
        <f t="shared" si="4"/>
        <v>0</v>
      </c>
      <c r="T27" s="32">
        <f t="shared" si="4"/>
        <v>0</v>
      </c>
      <c r="U27" s="32">
        <f t="shared" si="4"/>
        <v>0</v>
      </c>
      <c r="V27" s="32">
        <f t="shared" si="4"/>
        <v>13806</v>
      </c>
      <c r="W27" s="32">
        <f t="shared" si="4"/>
        <v>0</v>
      </c>
      <c r="X27" s="32">
        <f t="shared" si="4"/>
        <v>0</v>
      </c>
      <c r="Y27" s="32">
        <f t="shared" si="4"/>
        <v>0</v>
      </c>
      <c r="Z27" s="32">
        <f t="shared" si="4"/>
        <v>331</v>
      </c>
      <c r="AA27" s="32">
        <f t="shared" si="4"/>
        <v>0</v>
      </c>
      <c r="AB27" s="32">
        <f t="shared" si="4"/>
        <v>0</v>
      </c>
      <c r="AC27" s="32">
        <f t="shared" si="4"/>
        <v>0</v>
      </c>
      <c r="AD27" s="32">
        <f t="shared" si="3"/>
        <v>0</v>
      </c>
      <c r="AE27" s="32">
        <f t="shared" si="3"/>
        <v>0</v>
      </c>
      <c r="AF27" s="32">
        <f t="shared" si="3"/>
        <v>0</v>
      </c>
      <c r="AG27" s="32">
        <f t="shared" si="3"/>
        <v>0</v>
      </c>
    </row>
    <row r="28" spans="1:33" x14ac:dyDescent="0.2">
      <c r="C28" s="16"/>
      <c r="D28" s="16"/>
      <c r="E28" s="16"/>
    </row>
    <row r="29" spans="1:33" x14ac:dyDescent="0.2">
      <c r="C29" s="16"/>
      <c r="D29" s="16"/>
      <c r="E29" s="16"/>
    </row>
    <row r="30" spans="1:33" x14ac:dyDescent="0.2">
      <c r="C30" s="16"/>
      <c r="D30" s="16"/>
      <c r="E30" s="16"/>
    </row>
  </sheetData>
  <mergeCells count="10">
    <mergeCell ref="B1:D1"/>
    <mergeCell ref="F1:H1"/>
    <mergeCell ref="C2:E2"/>
    <mergeCell ref="G2:I2"/>
    <mergeCell ref="AE2:AG2"/>
    <mergeCell ref="O2:Q2"/>
    <mergeCell ref="S2:U2"/>
    <mergeCell ref="W2:Y2"/>
    <mergeCell ref="AA2:AC2"/>
    <mergeCell ref="K2:M2"/>
  </mergeCells>
  <phoneticPr fontId="0" type="noConversion"/>
  <pageMargins left="0" right="0" top="0" bottom="0" header="0" footer="0"/>
  <pageSetup paperSize="9" scale="4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F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3" width="11" hidden="1" customWidth="1"/>
    <col min="4" max="5" width="11.85546875" hidden="1" customWidth="1"/>
    <col min="7" max="7" width="11" bestFit="1" customWidth="1"/>
    <col min="8" max="8" width="9.5703125" bestFit="1" customWidth="1"/>
    <col min="9" max="9" width="9.5703125" hidden="1" customWidth="1"/>
    <col min="12" max="12" width="9.5703125" bestFit="1" customWidth="1"/>
  </cols>
  <sheetData>
    <row r="1" spans="1:27" x14ac:dyDescent="0.2">
      <c r="A1" s="2" t="s">
        <v>3</v>
      </c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24" t="s">
        <v>22</v>
      </c>
      <c r="L1" s="25"/>
      <c r="N1" s="359" t="s">
        <v>192</v>
      </c>
      <c r="O1" s="358"/>
      <c r="P1" s="358"/>
      <c r="Q1" s="20"/>
      <c r="R1" s="19"/>
      <c r="S1" s="24" t="s">
        <v>193</v>
      </c>
      <c r="T1" s="25"/>
      <c r="W1" t="s">
        <v>173</v>
      </c>
      <c r="AA1" t="s">
        <v>173</v>
      </c>
    </row>
    <row r="2" spans="1:27" x14ac:dyDescent="0.2">
      <c r="A2" s="3"/>
      <c r="B2" s="6" t="s">
        <v>6</v>
      </c>
      <c r="C2" s="360" t="s">
        <v>25</v>
      </c>
      <c r="D2" s="361"/>
      <c r="E2" s="12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6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 t="s">
        <v>127</v>
      </c>
      <c r="J3" s="7"/>
      <c r="K3" s="17" t="s">
        <v>27</v>
      </c>
      <c r="L3" s="15" t="s">
        <v>26</v>
      </c>
      <c r="M3" s="117" t="s">
        <v>127</v>
      </c>
      <c r="N3" s="9"/>
      <c r="O3" s="17" t="s">
        <v>27</v>
      </c>
      <c r="P3" s="15" t="s">
        <v>26</v>
      </c>
      <c r="Q3" s="117" t="s">
        <v>127</v>
      </c>
      <c r="R3" s="7"/>
      <c r="S3" s="17" t="s">
        <v>27</v>
      </c>
      <c r="T3" s="15" t="s">
        <v>26</v>
      </c>
      <c r="U3" s="117" t="s">
        <v>127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v>212</v>
      </c>
      <c r="G4" s="22"/>
      <c r="H4" s="22"/>
      <c r="I4" s="22"/>
      <c r="J4" s="22">
        <v>319</v>
      </c>
      <c r="K4" s="22"/>
      <c r="L4" s="22"/>
      <c r="M4" s="103"/>
      <c r="N4" s="22">
        <v>383</v>
      </c>
      <c r="O4" s="22"/>
      <c r="P4" s="22"/>
      <c r="Q4" s="22"/>
      <c r="R4" s="22"/>
      <c r="S4" s="22"/>
      <c r="T4" s="22"/>
      <c r="U4" s="103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v>293</v>
      </c>
      <c r="G5" s="22"/>
      <c r="H5" s="22"/>
      <c r="I5" s="22"/>
      <c r="J5" s="22">
        <v>495</v>
      </c>
      <c r="K5" s="22"/>
      <c r="L5" s="22"/>
      <c r="M5" s="124"/>
      <c r="N5" s="22">
        <v>610</v>
      </c>
      <c r="O5" s="22"/>
      <c r="P5" s="22"/>
      <c r="Q5" s="22"/>
      <c r="R5" s="22"/>
      <c r="S5" s="22"/>
      <c r="T5" s="22"/>
      <c r="U5" s="124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v>266</v>
      </c>
      <c r="G6" s="22"/>
      <c r="H6" s="22"/>
      <c r="I6" s="22"/>
      <c r="J6" s="22">
        <v>567</v>
      </c>
      <c r="K6" s="22"/>
      <c r="L6" s="22"/>
      <c r="M6" s="124"/>
      <c r="N6" s="22">
        <v>715</v>
      </c>
      <c r="O6" s="22"/>
      <c r="P6" s="22"/>
      <c r="Q6" s="22"/>
      <c r="R6" s="22"/>
      <c r="S6" s="22"/>
      <c r="T6" s="22"/>
      <c r="U6" s="124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v>257</v>
      </c>
      <c r="G7" s="22"/>
      <c r="H7" s="22"/>
      <c r="I7" s="22"/>
      <c r="J7" s="22">
        <v>449</v>
      </c>
      <c r="K7" s="22"/>
      <c r="L7" s="22"/>
      <c r="M7" s="124"/>
      <c r="N7" s="22">
        <v>519</v>
      </c>
      <c r="O7" s="22"/>
      <c r="P7" s="22"/>
      <c r="Q7" s="22"/>
      <c r="R7" s="22"/>
      <c r="S7" s="22"/>
      <c r="T7" s="22"/>
      <c r="U7" s="124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v>274</v>
      </c>
      <c r="G8" s="22"/>
      <c r="H8" s="22"/>
      <c r="I8" s="22"/>
      <c r="J8" s="22">
        <v>449</v>
      </c>
      <c r="K8" s="22"/>
      <c r="L8" s="22"/>
      <c r="M8" s="124"/>
      <c r="N8" s="22">
        <v>514</v>
      </c>
      <c r="O8" s="22"/>
      <c r="P8" s="22"/>
      <c r="Q8" s="22"/>
      <c r="R8" s="22"/>
      <c r="S8" s="22"/>
      <c r="T8" s="22"/>
      <c r="U8" s="124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v>144</v>
      </c>
      <c r="G9" s="22"/>
      <c r="H9" s="22"/>
      <c r="I9" s="22"/>
      <c r="J9" s="22">
        <v>369</v>
      </c>
      <c r="K9" s="22"/>
      <c r="L9" s="22"/>
      <c r="M9" s="124"/>
      <c r="N9" s="22">
        <v>385</v>
      </c>
      <c r="O9" s="22"/>
      <c r="P9" s="22"/>
      <c r="Q9" s="22"/>
      <c r="R9" s="22"/>
      <c r="S9" s="22"/>
      <c r="T9" s="22"/>
      <c r="U9" s="124"/>
    </row>
    <row r="10" spans="1:27" x14ac:dyDescent="0.2">
      <c r="A10" s="18" t="s">
        <v>19</v>
      </c>
      <c r="B10" s="104">
        <f t="shared" si="0"/>
        <v>0</v>
      </c>
      <c r="C10" s="104"/>
      <c r="D10" s="104"/>
      <c r="E10" s="104"/>
      <c r="F10" s="22">
        <v>179</v>
      </c>
      <c r="G10" s="22"/>
      <c r="H10" s="22"/>
      <c r="I10" s="22"/>
      <c r="J10" s="22">
        <v>1073</v>
      </c>
      <c r="K10" s="22"/>
      <c r="L10" s="22"/>
      <c r="M10" s="124"/>
      <c r="N10" s="22">
        <v>418</v>
      </c>
      <c r="O10" s="22"/>
      <c r="P10" s="22"/>
      <c r="Q10" s="22"/>
      <c r="R10" s="22"/>
      <c r="S10" s="22"/>
      <c r="T10" s="22"/>
      <c r="U10" s="124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v>197</v>
      </c>
      <c r="G11" s="22"/>
      <c r="H11" s="22"/>
      <c r="I11" s="22"/>
      <c r="J11" s="22">
        <v>1014</v>
      </c>
      <c r="K11" s="22"/>
      <c r="L11" s="22"/>
      <c r="M11" s="124"/>
      <c r="N11" s="22">
        <v>400</v>
      </c>
      <c r="O11" s="22"/>
      <c r="P11" s="22"/>
      <c r="Q11" s="22"/>
      <c r="R11" s="22"/>
      <c r="S11" s="22"/>
      <c r="T11" s="22"/>
      <c r="U11" s="124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v>300</v>
      </c>
      <c r="G12" s="22"/>
      <c r="H12" s="22"/>
      <c r="I12" s="22"/>
      <c r="J12" s="22">
        <v>939</v>
      </c>
      <c r="K12" s="22"/>
      <c r="L12" s="22"/>
      <c r="M12" s="124"/>
      <c r="N12" s="22">
        <v>380</v>
      </c>
      <c r="O12" s="22"/>
      <c r="P12" s="22"/>
      <c r="Q12" s="22"/>
      <c r="R12" s="22"/>
      <c r="S12" s="22"/>
      <c r="T12" s="22"/>
      <c r="U12" s="124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v>448</v>
      </c>
      <c r="G13" s="22"/>
      <c r="H13" s="22"/>
      <c r="I13" s="22"/>
      <c r="J13" s="22">
        <v>1023</v>
      </c>
      <c r="K13" s="22"/>
      <c r="L13" s="22"/>
      <c r="M13" s="124"/>
      <c r="N13" s="22">
        <v>418</v>
      </c>
      <c r="O13" s="22"/>
      <c r="P13" s="22"/>
      <c r="Q13" s="22"/>
      <c r="R13" s="22"/>
      <c r="S13" s="22"/>
      <c r="T13" s="22"/>
      <c r="U13" s="124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v>258</v>
      </c>
      <c r="G14" s="22"/>
      <c r="H14" s="22"/>
      <c r="I14" s="22"/>
      <c r="J14" s="22">
        <v>995</v>
      </c>
      <c r="K14" s="22"/>
      <c r="L14" s="22"/>
      <c r="M14" s="124"/>
      <c r="N14" s="22">
        <v>363</v>
      </c>
      <c r="O14" s="22"/>
      <c r="P14" s="22"/>
      <c r="Q14" s="22"/>
      <c r="R14" s="22"/>
      <c r="S14" s="22"/>
      <c r="T14" s="22"/>
      <c r="U14" s="124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v>172</v>
      </c>
      <c r="G15" s="22"/>
      <c r="H15" s="22"/>
      <c r="I15" s="22"/>
      <c r="J15" s="22">
        <v>973</v>
      </c>
      <c r="K15" s="22"/>
      <c r="L15" s="22"/>
      <c r="M15" s="124"/>
      <c r="N15" s="22">
        <v>400</v>
      </c>
      <c r="O15" s="22"/>
      <c r="P15" s="22"/>
      <c r="Q15" s="22"/>
      <c r="R15" s="22"/>
      <c r="S15" s="22"/>
      <c r="T15" s="22"/>
      <c r="U15" s="124"/>
    </row>
    <row r="16" spans="1:27" x14ac:dyDescent="0.2">
      <c r="A16" s="1" t="s">
        <v>6</v>
      </c>
      <c r="B16" s="22">
        <f t="shared" ref="B16:M16" si="1">SUM(B4:B15)</f>
        <v>0</v>
      </c>
      <c r="C16" s="22">
        <f t="shared" si="1"/>
        <v>0</v>
      </c>
      <c r="D16" s="22">
        <f t="shared" si="1"/>
        <v>0</v>
      </c>
      <c r="E16" s="22"/>
      <c r="F16" s="22">
        <f t="shared" si="1"/>
        <v>3000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8665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ref="N16:U16" si="2">SUM(N4:N15)</f>
        <v>5505</v>
      </c>
      <c r="O16" s="22">
        <f t="shared" si="2"/>
        <v>0</v>
      </c>
      <c r="P16" s="22">
        <f t="shared" si="2"/>
        <v>0</v>
      </c>
      <c r="Q16" s="22">
        <f t="shared" si="2"/>
        <v>0</v>
      </c>
      <c r="R16" s="22">
        <f t="shared" si="2"/>
        <v>0</v>
      </c>
      <c r="S16" s="22">
        <f t="shared" si="2"/>
        <v>0</v>
      </c>
      <c r="T16" s="22">
        <f t="shared" si="2"/>
        <v>0</v>
      </c>
      <c r="U16" s="22">
        <f t="shared" si="2"/>
        <v>0</v>
      </c>
    </row>
    <row r="17" spans="1:21" x14ac:dyDescent="0.2">
      <c r="A17" s="28" t="s">
        <v>28</v>
      </c>
      <c r="B17" s="30">
        <f t="shared" ref="B17:L17" si="3">B4+B5</f>
        <v>0</v>
      </c>
      <c r="C17" s="30">
        <f t="shared" si="3"/>
        <v>0</v>
      </c>
      <c r="D17" s="30">
        <f t="shared" si="3"/>
        <v>0</v>
      </c>
      <c r="E17" s="30"/>
      <c r="F17" s="30">
        <f t="shared" si="3"/>
        <v>505</v>
      </c>
      <c r="G17" s="30">
        <f t="shared" si="3"/>
        <v>0</v>
      </c>
      <c r="H17" s="30">
        <f t="shared" si="3"/>
        <v>0</v>
      </c>
      <c r="I17" s="30">
        <f>I4+I5</f>
        <v>0</v>
      </c>
      <c r="J17" s="30">
        <f t="shared" si="3"/>
        <v>814</v>
      </c>
      <c r="K17" s="30">
        <f t="shared" si="3"/>
        <v>0</v>
      </c>
      <c r="L17" s="30">
        <f t="shared" si="3"/>
        <v>0</v>
      </c>
      <c r="M17" s="30">
        <f t="shared" ref="M17:U17" si="4">M4+M5</f>
        <v>0</v>
      </c>
      <c r="N17" s="30">
        <f t="shared" si="4"/>
        <v>993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4"/>
        <v>0</v>
      </c>
      <c r="S17" s="30">
        <f t="shared" si="4"/>
        <v>0</v>
      </c>
      <c r="T17" s="30">
        <f t="shared" si="4"/>
        <v>0</v>
      </c>
      <c r="U17" s="30">
        <f t="shared" si="4"/>
        <v>0</v>
      </c>
    </row>
    <row r="18" spans="1:21" x14ac:dyDescent="0.2">
      <c r="A18" s="28" t="s">
        <v>96</v>
      </c>
      <c r="B18" s="30">
        <f t="shared" ref="B18:B27" si="5">B17+B6</f>
        <v>0</v>
      </c>
      <c r="C18" s="30">
        <f t="shared" ref="C18:C27" si="6">C17+C6</f>
        <v>0</v>
      </c>
      <c r="D18" s="30">
        <f t="shared" ref="D18:D27" si="7">D17+D6</f>
        <v>0</v>
      </c>
      <c r="E18" s="30"/>
      <c r="F18" s="30">
        <f t="shared" ref="F18:F27" si="8">F17+F6</f>
        <v>771</v>
      </c>
      <c r="G18" s="30">
        <f t="shared" ref="G18:G27" si="9">G17+G6</f>
        <v>0</v>
      </c>
      <c r="H18" s="30">
        <f t="shared" ref="H18:I27" si="10">H17+H6</f>
        <v>0</v>
      </c>
      <c r="I18" s="30">
        <f t="shared" si="10"/>
        <v>0</v>
      </c>
      <c r="J18" s="30">
        <f t="shared" ref="J18:J27" si="11">J17+J6</f>
        <v>1381</v>
      </c>
      <c r="K18" s="30">
        <f t="shared" ref="K18:K27" si="12">K17+K6</f>
        <v>0</v>
      </c>
      <c r="L18" s="30">
        <f t="shared" ref="L18:M27" si="13">L17+L6</f>
        <v>0</v>
      </c>
      <c r="M18" s="30">
        <f t="shared" si="13"/>
        <v>0</v>
      </c>
      <c r="N18" s="30">
        <f t="shared" ref="N18:N27" si="14">N17+N6</f>
        <v>1708</v>
      </c>
      <c r="O18" s="30">
        <f t="shared" ref="O18:O27" si="15">O17+O6</f>
        <v>0</v>
      </c>
      <c r="P18" s="30">
        <f t="shared" ref="P18:P27" si="16">P17+P6</f>
        <v>0</v>
      </c>
      <c r="Q18" s="30">
        <f t="shared" ref="Q18:Q27" si="17">Q17+Q6</f>
        <v>0</v>
      </c>
      <c r="R18" s="30">
        <f t="shared" ref="R18:R27" si="18">R17+R6</f>
        <v>0</v>
      </c>
      <c r="S18" s="30">
        <f t="shared" ref="S18:S27" si="19">S17+S6</f>
        <v>0</v>
      </c>
      <c r="T18" s="30">
        <f t="shared" ref="T18:T27" si="20">T17+T6</f>
        <v>0</v>
      </c>
      <c r="U18" s="30">
        <f t="shared" ref="U18:U27" si="21">U17+U6</f>
        <v>0</v>
      </c>
    </row>
    <row r="19" spans="1:21" x14ac:dyDescent="0.2">
      <c r="A19" s="28" t="s">
        <v>29</v>
      </c>
      <c r="B19" s="30">
        <f t="shared" si="5"/>
        <v>0</v>
      </c>
      <c r="C19" s="30">
        <f t="shared" si="6"/>
        <v>0</v>
      </c>
      <c r="D19" s="30">
        <f t="shared" si="7"/>
        <v>0</v>
      </c>
      <c r="E19" s="30"/>
      <c r="F19" s="30">
        <f t="shared" si="8"/>
        <v>1028</v>
      </c>
      <c r="G19" s="30">
        <f t="shared" si="9"/>
        <v>0</v>
      </c>
      <c r="H19" s="30">
        <f t="shared" si="10"/>
        <v>0</v>
      </c>
      <c r="I19" s="30">
        <f t="shared" si="10"/>
        <v>0</v>
      </c>
      <c r="J19" s="30">
        <f t="shared" si="11"/>
        <v>1830</v>
      </c>
      <c r="K19" s="30">
        <f t="shared" si="12"/>
        <v>0</v>
      </c>
      <c r="L19" s="30">
        <f t="shared" si="13"/>
        <v>0</v>
      </c>
      <c r="M19" s="30">
        <f t="shared" si="13"/>
        <v>0</v>
      </c>
      <c r="N19" s="30">
        <f t="shared" si="14"/>
        <v>2227</v>
      </c>
      <c r="O19" s="30">
        <f t="shared" si="15"/>
        <v>0</v>
      </c>
      <c r="P19" s="30">
        <f t="shared" si="16"/>
        <v>0</v>
      </c>
      <c r="Q19" s="30">
        <f t="shared" si="17"/>
        <v>0</v>
      </c>
      <c r="R19" s="30">
        <f t="shared" si="18"/>
        <v>0</v>
      </c>
      <c r="S19" s="30">
        <f t="shared" si="19"/>
        <v>0</v>
      </c>
      <c r="T19" s="30">
        <f t="shared" si="20"/>
        <v>0</v>
      </c>
      <c r="U19" s="30">
        <f t="shared" si="21"/>
        <v>0</v>
      </c>
    </row>
    <row r="20" spans="1:21" x14ac:dyDescent="0.2">
      <c r="A20" s="28" t="s">
        <v>30</v>
      </c>
      <c r="B20" s="30">
        <f t="shared" si="5"/>
        <v>0</v>
      </c>
      <c r="C20" s="30">
        <f t="shared" si="6"/>
        <v>0</v>
      </c>
      <c r="D20" s="30">
        <f t="shared" si="7"/>
        <v>0</v>
      </c>
      <c r="E20" s="30"/>
      <c r="F20" s="30">
        <f t="shared" si="8"/>
        <v>1302</v>
      </c>
      <c r="G20" s="30">
        <f t="shared" si="9"/>
        <v>0</v>
      </c>
      <c r="H20" s="30">
        <f t="shared" si="10"/>
        <v>0</v>
      </c>
      <c r="I20" s="30">
        <f t="shared" si="10"/>
        <v>0</v>
      </c>
      <c r="J20" s="30">
        <f t="shared" si="11"/>
        <v>2279</v>
      </c>
      <c r="K20" s="30">
        <f t="shared" si="12"/>
        <v>0</v>
      </c>
      <c r="L20" s="30">
        <f t="shared" si="13"/>
        <v>0</v>
      </c>
      <c r="M20" s="30">
        <f t="shared" si="13"/>
        <v>0</v>
      </c>
      <c r="N20" s="30">
        <f t="shared" si="14"/>
        <v>2741</v>
      </c>
      <c r="O20" s="30">
        <f t="shared" si="15"/>
        <v>0</v>
      </c>
      <c r="P20" s="30">
        <f t="shared" si="16"/>
        <v>0</v>
      </c>
      <c r="Q20" s="30">
        <f t="shared" si="17"/>
        <v>0</v>
      </c>
      <c r="R20" s="30">
        <f t="shared" si="18"/>
        <v>0</v>
      </c>
      <c r="S20" s="30">
        <f t="shared" si="19"/>
        <v>0</v>
      </c>
      <c r="T20" s="30">
        <f t="shared" si="20"/>
        <v>0</v>
      </c>
      <c r="U20" s="30">
        <f t="shared" si="21"/>
        <v>0</v>
      </c>
    </row>
    <row r="21" spans="1:21" x14ac:dyDescent="0.2">
      <c r="A21" s="28" t="s">
        <v>31</v>
      </c>
      <c r="B21" s="30">
        <f t="shared" si="5"/>
        <v>0</v>
      </c>
      <c r="C21" s="30">
        <f t="shared" si="6"/>
        <v>0</v>
      </c>
      <c r="D21" s="30">
        <f t="shared" si="7"/>
        <v>0</v>
      </c>
      <c r="E21" s="30"/>
      <c r="F21" s="30">
        <f t="shared" si="8"/>
        <v>1446</v>
      </c>
      <c r="G21" s="30">
        <f t="shared" si="9"/>
        <v>0</v>
      </c>
      <c r="H21" s="30">
        <f t="shared" si="10"/>
        <v>0</v>
      </c>
      <c r="I21" s="30">
        <f t="shared" si="10"/>
        <v>0</v>
      </c>
      <c r="J21" s="30">
        <f t="shared" si="11"/>
        <v>2648</v>
      </c>
      <c r="K21" s="30">
        <f t="shared" si="12"/>
        <v>0</v>
      </c>
      <c r="L21" s="30">
        <f t="shared" si="13"/>
        <v>0</v>
      </c>
      <c r="M21" s="30">
        <f t="shared" si="13"/>
        <v>0</v>
      </c>
      <c r="N21" s="30">
        <f t="shared" si="14"/>
        <v>3126</v>
      </c>
      <c r="O21" s="30">
        <f t="shared" si="15"/>
        <v>0</v>
      </c>
      <c r="P21" s="30">
        <f t="shared" si="16"/>
        <v>0</v>
      </c>
      <c r="Q21" s="30">
        <f t="shared" si="17"/>
        <v>0</v>
      </c>
      <c r="R21" s="30">
        <f t="shared" si="18"/>
        <v>0</v>
      </c>
      <c r="S21" s="30">
        <f t="shared" si="19"/>
        <v>0</v>
      </c>
      <c r="T21" s="30">
        <f t="shared" si="20"/>
        <v>0</v>
      </c>
      <c r="U21" s="30">
        <f t="shared" si="21"/>
        <v>0</v>
      </c>
    </row>
    <row r="22" spans="1:21" x14ac:dyDescent="0.2">
      <c r="A22" s="28" t="s">
        <v>32</v>
      </c>
      <c r="B22" s="30">
        <f t="shared" si="5"/>
        <v>0</v>
      </c>
      <c r="C22" s="30">
        <f t="shared" si="6"/>
        <v>0</v>
      </c>
      <c r="D22" s="30">
        <f t="shared" si="7"/>
        <v>0</v>
      </c>
      <c r="E22" s="30"/>
      <c r="F22" s="30">
        <f t="shared" si="8"/>
        <v>1625</v>
      </c>
      <c r="G22" s="30">
        <f t="shared" si="9"/>
        <v>0</v>
      </c>
      <c r="H22" s="30">
        <f t="shared" si="10"/>
        <v>0</v>
      </c>
      <c r="I22" s="30">
        <f t="shared" si="10"/>
        <v>0</v>
      </c>
      <c r="J22" s="30">
        <f t="shared" si="11"/>
        <v>3721</v>
      </c>
      <c r="K22" s="30">
        <f t="shared" si="12"/>
        <v>0</v>
      </c>
      <c r="L22" s="30">
        <f t="shared" si="13"/>
        <v>0</v>
      </c>
      <c r="M22" s="30">
        <f t="shared" si="13"/>
        <v>0</v>
      </c>
      <c r="N22" s="30">
        <f t="shared" si="14"/>
        <v>3544</v>
      </c>
      <c r="O22" s="30">
        <f t="shared" si="15"/>
        <v>0</v>
      </c>
      <c r="P22" s="30">
        <f t="shared" si="16"/>
        <v>0</v>
      </c>
      <c r="Q22" s="30">
        <f t="shared" si="17"/>
        <v>0</v>
      </c>
      <c r="R22" s="30">
        <f t="shared" si="18"/>
        <v>0</v>
      </c>
      <c r="S22" s="30">
        <f t="shared" si="19"/>
        <v>0</v>
      </c>
      <c r="T22" s="30">
        <f t="shared" si="20"/>
        <v>0</v>
      </c>
      <c r="U22" s="30">
        <f t="shared" si="21"/>
        <v>0</v>
      </c>
    </row>
    <row r="23" spans="1:21" x14ac:dyDescent="0.2">
      <c r="A23" s="28" t="s">
        <v>33</v>
      </c>
      <c r="B23" s="30">
        <f t="shared" si="5"/>
        <v>0</v>
      </c>
      <c r="C23" s="30">
        <f t="shared" si="6"/>
        <v>0</v>
      </c>
      <c r="D23" s="30">
        <f t="shared" si="7"/>
        <v>0</v>
      </c>
      <c r="E23" s="30"/>
      <c r="F23" s="30">
        <f t="shared" si="8"/>
        <v>1822</v>
      </c>
      <c r="G23" s="30">
        <f t="shared" si="9"/>
        <v>0</v>
      </c>
      <c r="H23" s="30">
        <f t="shared" si="10"/>
        <v>0</v>
      </c>
      <c r="I23" s="30">
        <f t="shared" si="10"/>
        <v>0</v>
      </c>
      <c r="J23" s="30">
        <f t="shared" si="11"/>
        <v>4735</v>
      </c>
      <c r="K23" s="30">
        <f t="shared" si="12"/>
        <v>0</v>
      </c>
      <c r="L23" s="30">
        <f t="shared" si="13"/>
        <v>0</v>
      </c>
      <c r="M23" s="30">
        <f t="shared" si="13"/>
        <v>0</v>
      </c>
      <c r="N23" s="30">
        <f t="shared" si="14"/>
        <v>3944</v>
      </c>
      <c r="O23" s="30">
        <f t="shared" si="15"/>
        <v>0</v>
      </c>
      <c r="P23" s="30">
        <f t="shared" si="16"/>
        <v>0</v>
      </c>
      <c r="Q23" s="30">
        <f t="shared" si="17"/>
        <v>0</v>
      </c>
      <c r="R23" s="30">
        <f t="shared" si="18"/>
        <v>0</v>
      </c>
      <c r="S23" s="30">
        <f t="shared" si="19"/>
        <v>0</v>
      </c>
      <c r="T23" s="30">
        <f t="shared" si="20"/>
        <v>0</v>
      </c>
      <c r="U23" s="30">
        <f t="shared" si="21"/>
        <v>0</v>
      </c>
    </row>
    <row r="24" spans="1:21" x14ac:dyDescent="0.2">
      <c r="A24" s="28" t="s">
        <v>34</v>
      </c>
      <c r="B24" s="30">
        <f t="shared" si="5"/>
        <v>0</v>
      </c>
      <c r="C24" s="30">
        <f t="shared" si="6"/>
        <v>0</v>
      </c>
      <c r="D24" s="30">
        <f t="shared" si="7"/>
        <v>0</v>
      </c>
      <c r="E24" s="30"/>
      <c r="F24" s="30">
        <f t="shared" si="8"/>
        <v>2122</v>
      </c>
      <c r="G24" s="30">
        <f t="shared" si="9"/>
        <v>0</v>
      </c>
      <c r="H24" s="30">
        <f t="shared" si="10"/>
        <v>0</v>
      </c>
      <c r="I24" s="30">
        <f t="shared" si="10"/>
        <v>0</v>
      </c>
      <c r="J24" s="30">
        <f t="shared" si="11"/>
        <v>5674</v>
      </c>
      <c r="K24" s="30">
        <f t="shared" si="12"/>
        <v>0</v>
      </c>
      <c r="L24" s="30">
        <f t="shared" si="13"/>
        <v>0</v>
      </c>
      <c r="M24" s="30">
        <f t="shared" si="13"/>
        <v>0</v>
      </c>
      <c r="N24" s="30">
        <f t="shared" si="14"/>
        <v>4324</v>
      </c>
      <c r="O24" s="30">
        <f t="shared" si="15"/>
        <v>0</v>
      </c>
      <c r="P24" s="30">
        <f t="shared" si="16"/>
        <v>0</v>
      </c>
      <c r="Q24" s="30">
        <f t="shared" si="17"/>
        <v>0</v>
      </c>
      <c r="R24" s="30">
        <f t="shared" si="18"/>
        <v>0</v>
      </c>
      <c r="S24" s="30">
        <f t="shared" si="19"/>
        <v>0</v>
      </c>
      <c r="T24" s="30">
        <f t="shared" si="20"/>
        <v>0</v>
      </c>
      <c r="U24" s="30">
        <f t="shared" si="21"/>
        <v>0</v>
      </c>
    </row>
    <row r="25" spans="1:21" x14ac:dyDescent="0.2">
      <c r="A25" s="29" t="s">
        <v>35</v>
      </c>
      <c r="B25" s="31">
        <f t="shared" si="5"/>
        <v>0</v>
      </c>
      <c r="C25" s="31">
        <f t="shared" si="6"/>
        <v>0</v>
      </c>
      <c r="D25" s="31">
        <f t="shared" si="7"/>
        <v>0</v>
      </c>
      <c r="E25" s="31"/>
      <c r="F25" s="31">
        <f t="shared" si="8"/>
        <v>2570</v>
      </c>
      <c r="G25" s="31">
        <f t="shared" si="9"/>
        <v>0</v>
      </c>
      <c r="H25" s="31">
        <f t="shared" si="10"/>
        <v>0</v>
      </c>
      <c r="I25" s="31">
        <f t="shared" si="10"/>
        <v>0</v>
      </c>
      <c r="J25" s="31">
        <f t="shared" si="11"/>
        <v>6697</v>
      </c>
      <c r="K25" s="31">
        <f t="shared" si="12"/>
        <v>0</v>
      </c>
      <c r="L25" s="31">
        <f t="shared" si="13"/>
        <v>0</v>
      </c>
      <c r="M25" s="31">
        <f t="shared" si="13"/>
        <v>0</v>
      </c>
      <c r="N25" s="31">
        <f t="shared" si="14"/>
        <v>4742</v>
      </c>
      <c r="O25" s="31">
        <f t="shared" si="15"/>
        <v>0</v>
      </c>
      <c r="P25" s="31">
        <f t="shared" si="16"/>
        <v>0</v>
      </c>
      <c r="Q25" s="31">
        <f t="shared" si="17"/>
        <v>0</v>
      </c>
      <c r="R25" s="31">
        <f t="shared" si="18"/>
        <v>0</v>
      </c>
      <c r="S25" s="31">
        <f t="shared" si="19"/>
        <v>0</v>
      </c>
      <c r="T25" s="31">
        <f t="shared" si="20"/>
        <v>0</v>
      </c>
      <c r="U25" s="31">
        <f t="shared" si="21"/>
        <v>0</v>
      </c>
    </row>
    <row r="26" spans="1:21" x14ac:dyDescent="0.2">
      <c r="A26" s="29" t="s">
        <v>36</v>
      </c>
      <c r="B26" s="31">
        <f t="shared" si="5"/>
        <v>0</v>
      </c>
      <c r="C26" s="31">
        <f t="shared" si="6"/>
        <v>0</v>
      </c>
      <c r="D26" s="31">
        <f t="shared" si="7"/>
        <v>0</v>
      </c>
      <c r="E26" s="31"/>
      <c r="F26" s="31">
        <f t="shared" si="8"/>
        <v>2828</v>
      </c>
      <c r="G26" s="31">
        <f t="shared" si="9"/>
        <v>0</v>
      </c>
      <c r="H26" s="31">
        <f t="shared" si="10"/>
        <v>0</v>
      </c>
      <c r="I26" s="31">
        <f t="shared" si="10"/>
        <v>0</v>
      </c>
      <c r="J26" s="31">
        <f t="shared" si="11"/>
        <v>7692</v>
      </c>
      <c r="K26" s="31">
        <f t="shared" si="12"/>
        <v>0</v>
      </c>
      <c r="L26" s="31">
        <f t="shared" si="13"/>
        <v>0</v>
      </c>
      <c r="M26" s="31">
        <f t="shared" si="13"/>
        <v>0</v>
      </c>
      <c r="N26" s="31">
        <f t="shared" si="14"/>
        <v>5105</v>
      </c>
      <c r="O26" s="31">
        <f t="shared" si="15"/>
        <v>0</v>
      </c>
      <c r="P26" s="31">
        <f t="shared" si="16"/>
        <v>0</v>
      </c>
      <c r="Q26" s="31">
        <f t="shared" si="17"/>
        <v>0</v>
      </c>
      <c r="R26" s="31">
        <f t="shared" si="18"/>
        <v>0</v>
      </c>
      <c r="S26" s="31">
        <f t="shared" si="19"/>
        <v>0</v>
      </c>
      <c r="T26" s="31">
        <f t="shared" si="20"/>
        <v>0</v>
      </c>
      <c r="U26" s="31">
        <f t="shared" si="21"/>
        <v>0</v>
      </c>
    </row>
    <row r="27" spans="1:21" x14ac:dyDescent="0.2">
      <c r="A27" s="12" t="s">
        <v>15</v>
      </c>
      <c r="B27" s="32">
        <f t="shared" si="5"/>
        <v>0</v>
      </c>
      <c r="C27" s="32">
        <f t="shared" si="6"/>
        <v>0</v>
      </c>
      <c r="D27" s="32">
        <f t="shared" si="7"/>
        <v>0</v>
      </c>
      <c r="E27" s="32"/>
      <c r="F27" s="32">
        <f t="shared" si="8"/>
        <v>3000</v>
      </c>
      <c r="G27" s="32">
        <f t="shared" si="9"/>
        <v>0</v>
      </c>
      <c r="H27" s="32">
        <f t="shared" si="10"/>
        <v>0</v>
      </c>
      <c r="I27" s="32">
        <f t="shared" si="10"/>
        <v>0</v>
      </c>
      <c r="J27" s="32">
        <f t="shared" si="11"/>
        <v>8665</v>
      </c>
      <c r="K27" s="32">
        <f t="shared" si="12"/>
        <v>0</v>
      </c>
      <c r="L27" s="32">
        <f t="shared" si="13"/>
        <v>0</v>
      </c>
      <c r="M27" s="32">
        <f t="shared" si="13"/>
        <v>0</v>
      </c>
      <c r="N27" s="32">
        <f t="shared" si="14"/>
        <v>5505</v>
      </c>
      <c r="O27" s="32">
        <f t="shared" si="15"/>
        <v>0</v>
      </c>
      <c r="P27" s="32">
        <f t="shared" si="16"/>
        <v>0</v>
      </c>
      <c r="Q27" s="32">
        <f t="shared" si="17"/>
        <v>0</v>
      </c>
      <c r="R27" s="32">
        <f t="shared" si="18"/>
        <v>0</v>
      </c>
      <c r="S27" s="32">
        <f t="shared" si="19"/>
        <v>0</v>
      </c>
      <c r="T27" s="32">
        <f t="shared" si="20"/>
        <v>0</v>
      </c>
      <c r="U27" s="32">
        <f t="shared" si="21"/>
        <v>0</v>
      </c>
    </row>
  </sheetData>
  <mergeCells count="8">
    <mergeCell ref="N1:P1"/>
    <mergeCell ref="O2:Q2"/>
    <mergeCell ref="S2:U2"/>
    <mergeCell ref="K2:M2"/>
    <mergeCell ref="C2:D2"/>
    <mergeCell ref="B1:D1"/>
    <mergeCell ref="F1:H1"/>
    <mergeCell ref="G2:I2"/>
  </mergeCells>
  <phoneticPr fontId="0" type="noConversion"/>
  <pageMargins left="0.75" right="0.75" top="1" bottom="1" header="0.5" footer="0.5"/>
  <pageSetup paperSize="9"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workbookViewId="0">
      <pane xSplit="1" ySplit="3" topLeftCell="K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10.85546875" bestFit="1" customWidth="1"/>
    <col min="3" max="4" width="10.5703125" bestFit="1" customWidth="1"/>
    <col min="5" max="5" width="10.5703125" customWidth="1"/>
    <col min="7" max="7" width="11" bestFit="1" customWidth="1"/>
    <col min="8" max="8" width="10.5703125" bestFit="1" customWidth="1"/>
    <col min="9" max="9" width="10.5703125" customWidth="1"/>
    <col min="11" max="11" width="9.28515625" bestFit="1" customWidth="1"/>
    <col min="12" max="12" width="10.5703125" bestFit="1" customWidth="1"/>
  </cols>
  <sheetData>
    <row r="1" spans="1:25" x14ac:dyDescent="0.2">
      <c r="A1" s="2"/>
      <c r="B1" s="357" t="s">
        <v>0</v>
      </c>
      <c r="C1" s="358"/>
      <c r="D1" s="357"/>
      <c r="E1" s="114"/>
      <c r="F1" s="359" t="s">
        <v>1</v>
      </c>
      <c r="G1" s="358"/>
      <c r="H1" s="358"/>
      <c r="I1" s="20"/>
      <c r="J1" s="363" t="s">
        <v>2</v>
      </c>
      <c r="K1" s="364"/>
      <c r="L1" s="364"/>
      <c r="M1" s="364"/>
      <c r="N1" s="363" t="s">
        <v>192</v>
      </c>
      <c r="O1" s="364"/>
      <c r="P1" s="364"/>
      <c r="Q1" s="364"/>
      <c r="R1" s="363" t="s">
        <v>193</v>
      </c>
      <c r="S1" s="364"/>
      <c r="T1" s="364"/>
      <c r="U1" s="364"/>
      <c r="V1" s="363" t="s">
        <v>188</v>
      </c>
      <c r="W1" s="364"/>
      <c r="X1" s="364"/>
      <c r="Y1" s="364"/>
    </row>
    <row r="2" spans="1:25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</row>
    <row r="3" spans="1:25" x14ac:dyDescent="0.2">
      <c r="A3" s="4"/>
      <c r="B3" s="9"/>
      <c r="C3" s="26" t="s">
        <v>27</v>
      </c>
      <c r="D3" s="15" t="s">
        <v>26</v>
      </c>
      <c r="E3" s="115" t="s">
        <v>105</v>
      </c>
      <c r="F3" s="9"/>
      <c r="G3" s="26" t="s">
        <v>27</v>
      </c>
      <c r="H3" s="15" t="s">
        <v>26</v>
      </c>
      <c r="I3" s="115" t="s">
        <v>105</v>
      </c>
      <c r="J3" s="8"/>
      <c r="K3" s="26" t="s">
        <v>27</v>
      </c>
      <c r="L3" s="15" t="s">
        <v>26</v>
      </c>
      <c r="M3" s="115" t="s">
        <v>105</v>
      </c>
      <c r="N3" s="8"/>
      <c r="O3" s="26" t="s">
        <v>27</v>
      </c>
      <c r="P3" s="15" t="s">
        <v>26</v>
      </c>
      <c r="Q3" s="115" t="s">
        <v>105</v>
      </c>
      <c r="R3" s="8"/>
      <c r="S3" s="26" t="s">
        <v>27</v>
      </c>
      <c r="T3" s="15" t="s">
        <v>26</v>
      </c>
      <c r="U3" s="115" t="s">
        <v>105</v>
      </c>
      <c r="V3" s="8"/>
      <c r="W3" s="26" t="s">
        <v>27</v>
      </c>
      <c r="X3" s="15" t="s">
        <v>26</v>
      </c>
      <c r="Y3" s="115" t="s">
        <v>105</v>
      </c>
    </row>
    <row r="4" spans="1:25" x14ac:dyDescent="0.2">
      <c r="A4" s="1" t="s">
        <v>4</v>
      </c>
      <c r="B4" s="27">
        <v>2806</v>
      </c>
      <c r="C4" s="27"/>
      <c r="D4" s="27"/>
      <c r="E4" s="27"/>
      <c r="F4" s="27">
        <v>834</v>
      </c>
      <c r="G4" s="27"/>
      <c r="H4" s="27"/>
      <c r="I4" s="27"/>
      <c r="J4" s="27">
        <v>3905</v>
      </c>
      <c r="K4" s="27"/>
      <c r="L4" s="27"/>
      <c r="M4" s="21"/>
      <c r="N4" s="27">
        <v>4704</v>
      </c>
      <c r="O4" s="27"/>
      <c r="P4" s="27"/>
      <c r="Q4" s="21"/>
      <c r="R4" s="27">
        <v>242</v>
      </c>
      <c r="S4" s="27"/>
      <c r="T4" s="27"/>
      <c r="U4" s="21"/>
      <c r="V4" s="27">
        <f t="shared" ref="V4:V9" si="0">983+33</f>
        <v>1016</v>
      </c>
      <c r="W4" s="27"/>
      <c r="X4" s="27"/>
      <c r="Y4" s="21"/>
    </row>
    <row r="5" spans="1:25" x14ac:dyDescent="0.2">
      <c r="A5" s="1" t="s">
        <v>7</v>
      </c>
      <c r="B5" s="27">
        <v>2806</v>
      </c>
      <c r="C5" s="22"/>
      <c r="D5" s="27"/>
      <c r="E5" s="27"/>
      <c r="F5" s="27">
        <v>834</v>
      </c>
      <c r="G5" s="22"/>
      <c r="H5" s="27"/>
      <c r="I5" s="27"/>
      <c r="J5" s="27">
        <v>3905</v>
      </c>
      <c r="K5" s="22"/>
      <c r="L5" s="22"/>
      <c r="M5" s="21"/>
      <c r="N5" s="27">
        <v>4704</v>
      </c>
      <c r="O5" s="22"/>
      <c r="P5" s="22"/>
      <c r="Q5" s="21"/>
      <c r="R5" s="27">
        <v>242</v>
      </c>
      <c r="S5" s="22"/>
      <c r="T5" s="22"/>
      <c r="U5" s="21"/>
      <c r="V5" s="27">
        <f t="shared" si="0"/>
        <v>1016</v>
      </c>
      <c r="W5" s="22"/>
      <c r="X5" s="22"/>
      <c r="Y5" s="21"/>
    </row>
    <row r="6" spans="1:25" x14ac:dyDescent="0.2">
      <c r="A6" s="1" t="s">
        <v>8</v>
      </c>
      <c r="B6" s="27">
        <v>2806</v>
      </c>
      <c r="C6" s="22"/>
      <c r="D6" s="27"/>
      <c r="E6" s="27"/>
      <c r="F6" s="27">
        <v>834</v>
      </c>
      <c r="G6" s="22"/>
      <c r="H6" s="27"/>
      <c r="I6" s="27"/>
      <c r="J6" s="27">
        <v>3905</v>
      </c>
      <c r="K6" s="22"/>
      <c r="L6" s="22"/>
      <c r="M6" s="21"/>
      <c r="N6" s="27">
        <v>4704</v>
      </c>
      <c r="O6" s="22"/>
      <c r="P6" s="22"/>
      <c r="Q6" s="21"/>
      <c r="R6" s="27">
        <v>242</v>
      </c>
      <c r="S6" s="22"/>
      <c r="T6" s="22"/>
      <c r="U6" s="21"/>
      <c r="V6" s="27">
        <f t="shared" si="0"/>
        <v>1016</v>
      </c>
      <c r="W6" s="22"/>
      <c r="X6" s="22"/>
      <c r="Y6" s="21"/>
    </row>
    <row r="7" spans="1:25" x14ac:dyDescent="0.2">
      <c r="A7" s="1" t="s">
        <v>16</v>
      </c>
      <c r="B7" s="27">
        <v>2806</v>
      </c>
      <c r="C7" s="22"/>
      <c r="D7" s="27"/>
      <c r="E7" s="27"/>
      <c r="F7" s="27">
        <v>834</v>
      </c>
      <c r="G7" s="22"/>
      <c r="H7" s="27"/>
      <c r="I7" s="27"/>
      <c r="J7" s="27">
        <v>3905</v>
      </c>
      <c r="K7" s="22"/>
      <c r="L7" s="22"/>
      <c r="M7" s="21"/>
      <c r="N7" s="27">
        <v>4704</v>
      </c>
      <c r="O7" s="22"/>
      <c r="P7" s="22"/>
      <c r="Q7" s="21"/>
      <c r="R7" s="27">
        <v>242</v>
      </c>
      <c r="S7" s="22"/>
      <c r="T7" s="22"/>
      <c r="U7" s="21"/>
      <c r="V7" s="27">
        <f t="shared" si="0"/>
        <v>1016</v>
      </c>
      <c r="W7" s="22"/>
      <c r="X7" s="22"/>
      <c r="Y7" s="21"/>
    </row>
    <row r="8" spans="1:25" x14ac:dyDescent="0.2">
      <c r="A8" s="1" t="s">
        <v>17</v>
      </c>
      <c r="B8" s="27">
        <v>2806</v>
      </c>
      <c r="C8" s="22"/>
      <c r="D8" s="27"/>
      <c r="E8" s="27"/>
      <c r="F8" s="27">
        <v>834</v>
      </c>
      <c r="G8" s="22"/>
      <c r="H8" s="27"/>
      <c r="I8" s="27"/>
      <c r="J8" s="27">
        <v>3905</v>
      </c>
      <c r="K8" s="22"/>
      <c r="L8" s="22"/>
      <c r="M8" s="21"/>
      <c r="N8" s="27">
        <v>4704</v>
      </c>
      <c r="O8" s="22"/>
      <c r="P8" s="22"/>
      <c r="Q8" s="21"/>
      <c r="R8" s="27">
        <v>242</v>
      </c>
      <c r="S8" s="22"/>
      <c r="T8" s="22"/>
      <c r="U8" s="21"/>
      <c r="V8" s="27">
        <f t="shared" si="0"/>
        <v>1016</v>
      </c>
      <c r="W8" s="22"/>
      <c r="X8" s="22"/>
      <c r="Y8" s="21"/>
    </row>
    <row r="9" spans="1:25" x14ac:dyDescent="0.2">
      <c r="A9" s="1" t="s">
        <v>18</v>
      </c>
      <c r="B9" s="27">
        <v>2806</v>
      </c>
      <c r="C9" s="22"/>
      <c r="D9" s="27"/>
      <c r="E9" s="27"/>
      <c r="F9" s="27">
        <v>834</v>
      </c>
      <c r="G9" s="22"/>
      <c r="H9" s="27"/>
      <c r="I9" s="27"/>
      <c r="J9" s="27">
        <v>3905</v>
      </c>
      <c r="K9" s="22"/>
      <c r="L9" s="22"/>
      <c r="M9" s="21"/>
      <c r="N9" s="27">
        <v>4704</v>
      </c>
      <c r="O9" s="22"/>
      <c r="P9" s="22"/>
      <c r="Q9" s="21"/>
      <c r="R9" s="27">
        <v>245</v>
      </c>
      <c r="S9" s="22"/>
      <c r="T9" s="22"/>
      <c r="U9" s="21"/>
      <c r="V9" s="27">
        <f t="shared" si="0"/>
        <v>1016</v>
      </c>
      <c r="W9" s="22"/>
      <c r="X9" s="22"/>
      <c r="Y9" s="21"/>
    </row>
    <row r="10" spans="1:25" x14ac:dyDescent="0.2">
      <c r="A10" s="18" t="s">
        <v>19</v>
      </c>
      <c r="B10" s="27">
        <v>2806</v>
      </c>
      <c r="C10" s="103"/>
      <c r="D10" s="27"/>
      <c r="E10" s="27"/>
      <c r="F10" s="27">
        <v>834</v>
      </c>
      <c r="G10" s="83"/>
      <c r="H10" s="27"/>
      <c r="I10" s="27"/>
      <c r="J10" s="27">
        <v>6644</v>
      </c>
      <c r="K10" s="83"/>
      <c r="L10" s="83"/>
      <c r="M10" s="21"/>
      <c r="N10" s="27">
        <v>3973</v>
      </c>
      <c r="O10" s="83"/>
      <c r="P10" s="83"/>
      <c r="Q10" s="21"/>
      <c r="R10" s="27">
        <v>91</v>
      </c>
      <c r="S10" s="83"/>
      <c r="T10" s="83"/>
      <c r="U10" s="21"/>
      <c r="V10" s="27">
        <f>917+33</f>
        <v>950</v>
      </c>
      <c r="W10" s="83"/>
      <c r="X10" s="83"/>
      <c r="Y10" s="21"/>
    </row>
    <row r="11" spans="1:25" x14ac:dyDescent="0.2">
      <c r="A11" s="1" t="s">
        <v>10</v>
      </c>
      <c r="B11" s="27">
        <v>2806</v>
      </c>
      <c r="C11" s="21"/>
      <c r="D11" s="27"/>
      <c r="E11" s="27"/>
      <c r="F11" s="27">
        <v>834</v>
      </c>
      <c r="G11" s="22"/>
      <c r="H11" s="27"/>
      <c r="I11" s="27"/>
      <c r="J11" s="27">
        <v>6644</v>
      </c>
      <c r="K11" s="22"/>
      <c r="L11" s="22"/>
      <c r="M11" s="21"/>
      <c r="N11" s="27">
        <v>3973</v>
      </c>
      <c r="O11" s="22"/>
      <c r="P11" s="22"/>
      <c r="Q11" s="21"/>
      <c r="R11" s="27">
        <v>91</v>
      </c>
      <c r="S11" s="22"/>
      <c r="T11" s="22"/>
      <c r="U11" s="21"/>
      <c r="V11" s="27">
        <f>917+33</f>
        <v>950</v>
      </c>
      <c r="W11" s="22"/>
      <c r="X11" s="22"/>
      <c r="Y11" s="21"/>
    </row>
    <row r="12" spans="1:25" x14ac:dyDescent="0.2">
      <c r="A12" s="1" t="s">
        <v>11</v>
      </c>
      <c r="B12" s="27">
        <v>2803</v>
      </c>
      <c r="C12" s="21"/>
      <c r="D12" s="27"/>
      <c r="E12" s="27"/>
      <c r="F12" s="27">
        <v>832</v>
      </c>
      <c r="G12" s="22"/>
      <c r="H12" s="27"/>
      <c r="I12" s="27"/>
      <c r="J12" s="27">
        <v>6819</v>
      </c>
      <c r="K12" s="22"/>
      <c r="L12" s="22"/>
      <c r="M12" s="21"/>
      <c r="N12" s="27">
        <v>4105</v>
      </c>
      <c r="O12" s="22"/>
      <c r="P12" s="22"/>
      <c r="Q12" s="21"/>
      <c r="R12" s="27">
        <v>91</v>
      </c>
      <c r="S12" s="22"/>
      <c r="T12" s="22"/>
      <c r="U12" s="21"/>
      <c r="V12" s="27">
        <f>917+33</f>
        <v>950</v>
      </c>
      <c r="W12" s="22"/>
      <c r="X12" s="22"/>
      <c r="Y12" s="21"/>
    </row>
    <row r="13" spans="1:25" x14ac:dyDescent="0.2">
      <c r="A13" s="1" t="s">
        <v>12</v>
      </c>
      <c r="B13" s="27">
        <v>2803</v>
      </c>
      <c r="C13" s="21"/>
      <c r="D13" s="27"/>
      <c r="E13" s="27"/>
      <c r="F13" s="27">
        <v>832</v>
      </c>
      <c r="G13" s="22"/>
      <c r="H13" s="27"/>
      <c r="I13" s="27"/>
      <c r="J13" s="27">
        <v>6819</v>
      </c>
      <c r="K13" s="22"/>
      <c r="L13" s="104"/>
      <c r="M13" s="21"/>
      <c r="N13" s="27">
        <v>4105</v>
      </c>
      <c r="O13" s="22"/>
      <c r="P13" s="104"/>
      <c r="Q13" s="21"/>
      <c r="R13" s="27">
        <v>91</v>
      </c>
      <c r="S13" s="22"/>
      <c r="T13" s="104"/>
      <c r="U13" s="21"/>
      <c r="V13" s="27">
        <f>917+33</f>
        <v>950</v>
      </c>
      <c r="W13" s="22"/>
      <c r="X13" s="104"/>
      <c r="Y13" s="21"/>
    </row>
    <row r="14" spans="1:25" x14ac:dyDescent="0.2">
      <c r="A14" s="1" t="s">
        <v>13</v>
      </c>
      <c r="B14" s="27">
        <v>2803</v>
      </c>
      <c r="C14" s="21"/>
      <c r="D14" s="27"/>
      <c r="E14" s="27"/>
      <c r="F14" s="27">
        <v>832</v>
      </c>
      <c r="G14" s="22"/>
      <c r="H14" s="27"/>
      <c r="I14" s="27"/>
      <c r="J14" s="27">
        <v>6815</v>
      </c>
      <c r="K14" s="22"/>
      <c r="L14" s="22"/>
      <c r="M14" s="21"/>
      <c r="N14" s="27">
        <v>4105</v>
      </c>
      <c r="O14" s="22"/>
      <c r="P14" s="22"/>
      <c r="Q14" s="21"/>
      <c r="R14" s="27">
        <v>91</v>
      </c>
      <c r="S14" s="22"/>
      <c r="T14" s="22"/>
      <c r="U14" s="21"/>
      <c r="V14" s="27">
        <f>917+33</f>
        <v>950</v>
      </c>
      <c r="W14" s="22"/>
      <c r="X14" s="22"/>
      <c r="Y14" s="21"/>
    </row>
    <row r="15" spans="1:25" x14ac:dyDescent="0.2">
      <c r="A15" s="1" t="s">
        <v>14</v>
      </c>
      <c r="B15" s="27">
        <v>2803</v>
      </c>
      <c r="C15" s="22"/>
      <c r="D15" s="27"/>
      <c r="E15" s="27"/>
      <c r="F15" s="27">
        <v>832</v>
      </c>
      <c r="G15" s="22"/>
      <c r="H15" s="27"/>
      <c r="I15" s="27"/>
      <c r="J15" s="27">
        <v>6815</v>
      </c>
      <c r="K15" s="22"/>
      <c r="L15" s="22"/>
      <c r="M15" s="21"/>
      <c r="N15" s="27">
        <v>4114</v>
      </c>
      <c r="O15" s="22"/>
      <c r="P15" s="22"/>
      <c r="Q15" s="21"/>
      <c r="R15" s="27">
        <v>90</v>
      </c>
      <c r="S15" s="22"/>
      <c r="T15" s="22"/>
      <c r="U15" s="21"/>
      <c r="V15" s="27">
        <f>917+37</f>
        <v>954</v>
      </c>
      <c r="W15" s="22"/>
      <c r="X15" s="22"/>
      <c r="Y15" s="21"/>
    </row>
    <row r="16" spans="1:25" x14ac:dyDescent="0.2">
      <c r="A16" s="18" t="s">
        <v>6</v>
      </c>
      <c r="B16" s="89">
        <f t="shared" ref="B16:M16" si="1">SUM(B4:B15)</f>
        <v>33660</v>
      </c>
      <c r="C16" s="89">
        <f t="shared" si="1"/>
        <v>0</v>
      </c>
      <c r="D16" s="89">
        <f t="shared" si="1"/>
        <v>0</v>
      </c>
      <c r="E16" s="89">
        <f t="shared" si="1"/>
        <v>0</v>
      </c>
      <c r="F16" s="89">
        <f t="shared" si="1"/>
        <v>10000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63986</v>
      </c>
      <c r="K16" s="89">
        <f t="shared" si="1"/>
        <v>0</v>
      </c>
      <c r="L16" s="89">
        <f t="shared" si="1"/>
        <v>0</v>
      </c>
      <c r="M16" s="89">
        <f t="shared" si="1"/>
        <v>0</v>
      </c>
      <c r="N16" s="89">
        <f t="shared" ref="N16:Y16" si="2">SUM(N4:N15)</f>
        <v>52599</v>
      </c>
      <c r="O16" s="89">
        <f t="shared" si="2"/>
        <v>0</v>
      </c>
      <c r="P16" s="89">
        <f t="shared" si="2"/>
        <v>0</v>
      </c>
      <c r="Q16" s="89">
        <f t="shared" si="2"/>
        <v>0</v>
      </c>
      <c r="R16" s="89">
        <f t="shared" si="2"/>
        <v>2000</v>
      </c>
      <c r="S16" s="89">
        <f t="shared" si="2"/>
        <v>0</v>
      </c>
      <c r="T16" s="89">
        <f t="shared" si="2"/>
        <v>0</v>
      </c>
      <c r="U16" s="89">
        <f t="shared" si="2"/>
        <v>0</v>
      </c>
      <c r="V16" s="89">
        <f t="shared" si="2"/>
        <v>11800</v>
      </c>
      <c r="W16" s="89">
        <f t="shared" si="2"/>
        <v>0</v>
      </c>
      <c r="X16" s="89">
        <f t="shared" si="2"/>
        <v>0</v>
      </c>
      <c r="Y16" s="89">
        <f t="shared" si="2"/>
        <v>0</v>
      </c>
    </row>
    <row r="17" spans="1:25" x14ac:dyDescent="0.2">
      <c r="A17" s="28" t="s">
        <v>28</v>
      </c>
      <c r="B17" s="30">
        <f>B4+B5</f>
        <v>5612</v>
      </c>
      <c r="C17" s="30">
        <f>C4+C5</f>
        <v>0</v>
      </c>
      <c r="D17" s="30">
        <f>D4+D5</f>
        <v>0</v>
      </c>
      <c r="E17" s="30">
        <f>E4+E5</f>
        <v>0</v>
      </c>
      <c r="F17" s="30">
        <f t="shared" ref="F17:L17" si="3">F4+F5</f>
        <v>1668</v>
      </c>
      <c r="G17" s="30">
        <f t="shared" si="3"/>
        <v>0</v>
      </c>
      <c r="H17" s="30">
        <f t="shared" si="3"/>
        <v>0</v>
      </c>
      <c r="I17" s="30">
        <f>I4+I5</f>
        <v>0</v>
      </c>
      <c r="J17" s="30">
        <f t="shared" si="3"/>
        <v>7810</v>
      </c>
      <c r="K17" s="30">
        <f t="shared" si="3"/>
        <v>0</v>
      </c>
      <c r="L17" s="30">
        <f t="shared" si="3"/>
        <v>0</v>
      </c>
      <c r="M17" s="30">
        <f t="shared" ref="M17:Y17" si="4">M4+M5</f>
        <v>0</v>
      </c>
      <c r="N17" s="30">
        <f t="shared" si="4"/>
        <v>9408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4"/>
        <v>484</v>
      </c>
      <c r="S17" s="30">
        <f t="shared" si="4"/>
        <v>0</v>
      </c>
      <c r="T17" s="30">
        <f t="shared" si="4"/>
        <v>0</v>
      </c>
      <c r="U17" s="30">
        <f t="shared" si="4"/>
        <v>0</v>
      </c>
      <c r="V17" s="30">
        <f t="shared" si="4"/>
        <v>2032</v>
      </c>
      <c r="W17" s="30">
        <f t="shared" si="4"/>
        <v>0</v>
      </c>
      <c r="X17" s="30">
        <f t="shared" si="4"/>
        <v>0</v>
      </c>
      <c r="Y17" s="30">
        <f t="shared" si="4"/>
        <v>0</v>
      </c>
    </row>
    <row r="18" spans="1:25" x14ac:dyDescent="0.2">
      <c r="A18" s="28" t="s">
        <v>96</v>
      </c>
      <c r="B18" s="30">
        <f t="shared" ref="B18:B27" si="5">B17+B6</f>
        <v>8418</v>
      </c>
      <c r="C18" s="30">
        <f t="shared" ref="C18:C27" si="6">C17+C6</f>
        <v>0</v>
      </c>
      <c r="D18" s="30">
        <f t="shared" ref="D18:D27" si="7">D17+D6</f>
        <v>0</v>
      </c>
      <c r="E18" s="30">
        <f t="shared" ref="E18:E27" si="8">E17+E6</f>
        <v>0</v>
      </c>
      <c r="F18" s="30">
        <f t="shared" ref="F18:M18" si="9">F17+F6</f>
        <v>2502</v>
      </c>
      <c r="G18" s="30">
        <f t="shared" si="9"/>
        <v>0</v>
      </c>
      <c r="H18" s="30">
        <f t="shared" si="9"/>
        <v>0</v>
      </c>
      <c r="I18" s="30">
        <f t="shared" si="9"/>
        <v>0</v>
      </c>
      <c r="J18" s="30">
        <f t="shared" si="9"/>
        <v>11715</v>
      </c>
      <c r="K18" s="30">
        <f t="shared" si="9"/>
        <v>0</v>
      </c>
      <c r="L18" s="30">
        <f t="shared" si="9"/>
        <v>0</v>
      </c>
      <c r="M18" s="30">
        <f t="shared" si="9"/>
        <v>0</v>
      </c>
      <c r="N18" s="30">
        <f t="shared" ref="N18:N27" si="10">N17+N6</f>
        <v>14112</v>
      </c>
      <c r="O18" s="30">
        <f t="shared" ref="O18:O27" si="11">O17+O6</f>
        <v>0</v>
      </c>
      <c r="P18" s="30">
        <f t="shared" ref="P18:P27" si="12">P17+P6</f>
        <v>0</v>
      </c>
      <c r="Q18" s="30">
        <f t="shared" ref="Q18:Q27" si="13">Q17+Q6</f>
        <v>0</v>
      </c>
      <c r="R18" s="30">
        <f t="shared" ref="R18:R27" si="14">R17+R6</f>
        <v>726</v>
      </c>
      <c r="S18" s="30">
        <f t="shared" ref="S18:S27" si="15">S17+S6</f>
        <v>0</v>
      </c>
      <c r="T18" s="30">
        <f t="shared" ref="T18:T27" si="16">T17+T6</f>
        <v>0</v>
      </c>
      <c r="U18" s="30">
        <f t="shared" ref="U18:U27" si="17">U17+U6</f>
        <v>0</v>
      </c>
      <c r="V18" s="30">
        <f t="shared" ref="V18:V27" si="18">V17+V6</f>
        <v>3048</v>
      </c>
      <c r="W18" s="30">
        <f t="shared" ref="W18:W27" si="19">W17+W6</f>
        <v>0</v>
      </c>
      <c r="X18" s="30">
        <f t="shared" ref="X18:X27" si="20">X17+X6</f>
        <v>0</v>
      </c>
      <c r="Y18" s="30">
        <f t="shared" ref="Y18:Y27" si="21">Y17+Y6</f>
        <v>0</v>
      </c>
    </row>
    <row r="19" spans="1:25" x14ac:dyDescent="0.2">
      <c r="A19" s="28" t="s">
        <v>29</v>
      </c>
      <c r="B19" s="30">
        <f t="shared" si="5"/>
        <v>11224</v>
      </c>
      <c r="C19" s="30">
        <f t="shared" si="6"/>
        <v>0</v>
      </c>
      <c r="D19" s="30">
        <f t="shared" si="7"/>
        <v>0</v>
      </c>
      <c r="E19" s="30">
        <f t="shared" si="8"/>
        <v>0</v>
      </c>
      <c r="F19" s="30">
        <f t="shared" ref="F19:M19" si="22">F18+F7</f>
        <v>3336</v>
      </c>
      <c r="G19" s="30">
        <f t="shared" si="22"/>
        <v>0</v>
      </c>
      <c r="H19" s="30">
        <f t="shared" si="22"/>
        <v>0</v>
      </c>
      <c r="I19" s="30">
        <f t="shared" si="22"/>
        <v>0</v>
      </c>
      <c r="J19" s="30">
        <f t="shared" si="22"/>
        <v>15620</v>
      </c>
      <c r="K19" s="30">
        <f t="shared" si="22"/>
        <v>0</v>
      </c>
      <c r="L19" s="30">
        <f t="shared" si="22"/>
        <v>0</v>
      </c>
      <c r="M19" s="30">
        <f t="shared" si="22"/>
        <v>0</v>
      </c>
      <c r="N19" s="30">
        <f t="shared" si="10"/>
        <v>18816</v>
      </c>
      <c r="O19" s="30">
        <f t="shared" si="11"/>
        <v>0</v>
      </c>
      <c r="P19" s="30">
        <f t="shared" si="12"/>
        <v>0</v>
      </c>
      <c r="Q19" s="30">
        <f t="shared" si="13"/>
        <v>0</v>
      </c>
      <c r="R19" s="30">
        <f t="shared" si="14"/>
        <v>968</v>
      </c>
      <c r="S19" s="30">
        <f t="shared" si="15"/>
        <v>0</v>
      </c>
      <c r="T19" s="30">
        <f t="shared" si="16"/>
        <v>0</v>
      </c>
      <c r="U19" s="30">
        <f t="shared" si="17"/>
        <v>0</v>
      </c>
      <c r="V19" s="30">
        <f t="shared" si="18"/>
        <v>4064</v>
      </c>
      <c r="W19" s="30">
        <f t="shared" si="19"/>
        <v>0</v>
      </c>
      <c r="X19" s="30">
        <f t="shared" si="20"/>
        <v>0</v>
      </c>
      <c r="Y19" s="30">
        <f t="shared" si="21"/>
        <v>0</v>
      </c>
    </row>
    <row r="20" spans="1:25" x14ac:dyDescent="0.2">
      <c r="A20" s="28" t="s">
        <v>30</v>
      </c>
      <c r="B20" s="30">
        <f t="shared" si="5"/>
        <v>14030</v>
      </c>
      <c r="C20" s="30">
        <f t="shared" si="6"/>
        <v>0</v>
      </c>
      <c r="D20" s="30">
        <f t="shared" si="7"/>
        <v>0</v>
      </c>
      <c r="E20" s="30">
        <f t="shared" si="8"/>
        <v>0</v>
      </c>
      <c r="F20" s="30">
        <f t="shared" ref="F20:M20" si="23">F19+F8</f>
        <v>4170</v>
      </c>
      <c r="G20" s="30">
        <f t="shared" si="23"/>
        <v>0</v>
      </c>
      <c r="H20" s="30">
        <f t="shared" si="23"/>
        <v>0</v>
      </c>
      <c r="I20" s="30">
        <f t="shared" si="23"/>
        <v>0</v>
      </c>
      <c r="J20" s="30">
        <f t="shared" si="23"/>
        <v>19525</v>
      </c>
      <c r="K20" s="30">
        <f t="shared" si="23"/>
        <v>0</v>
      </c>
      <c r="L20" s="30">
        <f t="shared" si="23"/>
        <v>0</v>
      </c>
      <c r="M20" s="30">
        <f t="shared" si="23"/>
        <v>0</v>
      </c>
      <c r="N20" s="30">
        <f t="shared" si="10"/>
        <v>23520</v>
      </c>
      <c r="O20" s="30">
        <f t="shared" si="11"/>
        <v>0</v>
      </c>
      <c r="P20" s="30">
        <f t="shared" si="12"/>
        <v>0</v>
      </c>
      <c r="Q20" s="30">
        <f t="shared" si="13"/>
        <v>0</v>
      </c>
      <c r="R20" s="30">
        <f t="shared" si="14"/>
        <v>1210</v>
      </c>
      <c r="S20" s="30">
        <f t="shared" si="15"/>
        <v>0</v>
      </c>
      <c r="T20" s="30">
        <f t="shared" si="16"/>
        <v>0</v>
      </c>
      <c r="U20" s="30">
        <f t="shared" si="17"/>
        <v>0</v>
      </c>
      <c r="V20" s="30">
        <f t="shared" si="18"/>
        <v>5080</v>
      </c>
      <c r="W20" s="30">
        <f t="shared" si="19"/>
        <v>0</v>
      </c>
      <c r="X20" s="30">
        <f t="shared" si="20"/>
        <v>0</v>
      </c>
      <c r="Y20" s="30">
        <f t="shared" si="21"/>
        <v>0</v>
      </c>
    </row>
    <row r="21" spans="1:25" x14ac:dyDescent="0.2">
      <c r="A21" s="28" t="s">
        <v>31</v>
      </c>
      <c r="B21" s="30">
        <f t="shared" si="5"/>
        <v>16836</v>
      </c>
      <c r="C21" s="30">
        <f t="shared" si="6"/>
        <v>0</v>
      </c>
      <c r="D21" s="30">
        <f t="shared" si="7"/>
        <v>0</v>
      </c>
      <c r="E21" s="30">
        <f t="shared" si="8"/>
        <v>0</v>
      </c>
      <c r="F21" s="30">
        <f t="shared" ref="F21:M21" si="24">F20+F9</f>
        <v>5004</v>
      </c>
      <c r="G21" s="30">
        <f t="shared" si="24"/>
        <v>0</v>
      </c>
      <c r="H21" s="30">
        <f t="shared" si="24"/>
        <v>0</v>
      </c>
      <c r="I21" s="30">
        <f t="shared" si="24"/>
        <v>0</v>
      </c>
      <c r="J21" s="30">
        <f t="shared" si="24"/>
        <v>23430</v>
      </c>
      <c r="K21" s="30">
        <f t="shared" si="24"/>
        <v>0</v>
      </c>
      <c r="L21" s="30">
        <f t="shared" si="24"/>
        <v>0</v>
      </c>
      <c r="M21" s="30">
        <f t="shared" si="24"/>
        <v>0</v>
      </c>
      <c r="N21" s="30">
        <f t="shared" si="10"/>
        <v>28224</v>
      </c>
      <c r="O21" s="30">
        <f t="shared" si="11"/>
        <v>0</v>
      </c>
      <c r="P21" s="30">
        <f t="shared" si="12"/>
        <v>0</v>
      </c>
      <c r="Q21" s="30">
        <f t="shared" si="13"/>
        <v>0</v>
      </c>
      <c r="R21" s="30">
        <f t="shared" si="14"/>
        <v>1455</v>
      </c>
      <c r="S21" s="30">
        <f t="shared" si="15"/>
        <v>0</v>
      </c>
      <c r="T21" s="30">
        <f t="shared" si="16"/>
        <v>0</v>
      </c>
      <c r="U21" s="30">
        <f t="shared" si="17"/>
        <v>0</v>
      </c>
      <c r="V21" s="30">
        <f t="shared" si="18"/>
        <v>6096</v>
      </c>
      <c r="W21" s="30">
        <f t="shared" si="19"/>
        <v>0</v>
      </c>
      <c r="X21" s="30">
        <f t="shared" si="20"/>
        <v>0</v>
      </c>
      <c r="Y21" s="30">
        <f t="shared" si="21"/>
        <v>0</v>
      </c>
    </row>
    <row r="22" spans="1:25" x14ac:dyDescent="0.2">
      <c r="A22" s="28" t="s">
        <v>32</v>
      </c>
      <c r="B22" s="30">
        <f t="shared" si="5"/>
        <v>19642</v>
      </c>
      <c r="C22" s="30">
        <f t="shared" si="6"/>
        <v>0</v>
      </c>
      <c r="D22" s="30">
        <f t="shared" si="7"/>
        <v>0</v>
      </c>
      <c r="E22" s="30">
        <f t="shared" si="8"/>
        <v>0</v>
      </c>
      <c r="F22" s="30">
        <f t="shared" ref="F22:M22" si="25">F21+F10</f>
        <v>5838</v>
      </c>
      <c r="G22" s="30">
        <f t="shared" si="25"/>
        <v>0</v>
      </c>
      <c r="H22" s="30">
        <f t="shared" si="25"/>
        <v>0</v>
      </c>
      <c r="I22" s="30">
        <f t="shared" si="25"/>
        <v>0</v>
      </c>
      <c r="J22" s="30">
        <f t="shared" si="25"/>
        <v>30074</v>
      </c>
      <c r="K22" s="30">
        <f t="shared" si="25"/>
        <v>0</v>
      </c>
      <c r="L22" s="30">
        <f t="shared" si="25"/>
        <v>0</v>
      </c>
      <c r="M22" s="30">
        <f t="shared" si="25"/>
        <v>0</v>
      </c>
      <c r="N22" s="30">
        <f t="shared" si="10"/>
        <v>32197</v>
      </c>
      <c r="O22" s="30">
        <f t="shared" si="11"/>
        <v>0</v>
      </c>
      <c r="P22" s="30">
        <f t="shared" si="12"/>
        <v>0</v>
      </c>
      <c r="Q22" s="30">
        <f t="shared" si="13"/>
        <v>0</v>
      </c>
      <c r="R22" s="30">
        <f t="shared" si="14"/>
        <v>1546</v>
      </c>
      <c r="S22" s="30">
        <f t="shared" si="15"/>
        <v>0</v>
      </c>
      <c r="T22" s="30">
        <f t="shared" si="16"/>
        <v>0</v>
      </c>
      <c r="U22" s="30">
        <f t="shared" si="17"/>
        <v>0</v>
      </c>
      <c r="V22" s="30">
        <f t="shared" si="18"/>
        <v>7046</v>
      </c>
      <c r="W22" s="30">
        <f t="shared" si="19"/>
        <v>0</v>
      </c>
      <c r="X22" s="30">
        <f t="shared" si="20"/>
        <v>0</v>
      </c>
      <c r="Y22" s="30">
        <f t="shared" si="21"/>
        <v>0</v>
      </c>
    </row>
    <row r="23" spans="1:25" x14ac:dyDescent="0.2">
      <c r="A23" s="28" t="s">
        <v>33</v>
      </c>
      <c r="B23" s="30">
        <f t="shared" si="5"/>
        <v>22448</v>
      </c>
      <c r="C23" s="30">
        <f t="shared" si="6"/>
        <v>0</v>
      </c>
      <c r="D23" s="30">
        <f t="shared" si="7"/>
        <v>0</v>
      </c>
      <c r="E23" s="30">
        <f t="shared" si="8"/>
        <v>0</v>
      </c>
      <c r="F23" s="30">
        <f t="shared" ref="F23:M23" si="26">F22+F11</f>
        <v>6672</v>
      </c>
      <c r="G23" s="30">
        <f t="shared" si="26"/>
        <v>0</v>
      </c>
      <c r="H23" s="30">
        <f t="shared" si="26"/>
        <v>0</v>
      </c>
      <c r="I23" s="30">
        <f t="shared" si="26"/>
        <v>0</v>
      </c>
      <c r="J23" s="30">
        <f t="shared" si="26"/>
        <v>36718</v>
      </c>
      <c r="K23" s="30">
        <f t="shared" si="26"/>
        <v>0</v>
      </c>
      <c r="L23" s="30">
        <f t="shared" si="26"/>
        <v>0</v>
      </c>
      <c r="M23" s="30">
        <f t="shared" si="26"/>
        <v>0</v>
      </c>
      <c r="N23" s="30">
        <f t="shared" si="10"/>
        <v>36170</v>
      </c>
      <c r="O23" s="30">
        <f t="shared" si="11"/>
        <v>0</v>
      </c>
      <c r="P23" s="30">
        <f t="shared" si="12"/>
        <v>0</v>
      </c>
      <c r="Q23" s="30">
        <f t="shared" si="13"/>
        <v>0</v>
      </c>
      <c r="R23" s="30">
        <f t="shared" si="14"/>
        <v>1637</v>
      </c>
      <c r="S23" s="30">
        <f t="shared" si="15"/>
        <v>0</v>
      </c>
      <c r="T23" s="30">
        <f t="shared" si="16"/>
        <v>0</v>
      </c>
      <c r="U23" s="30">
        <f t="shared" si="17"/>
        <v>0</v>
      </c>
      <c r="V23" s="30">
        <f t="shared" si="18"/>
        <v>7996</v>
      </c>
      <c r="W23" s="30">
        <f t="shared" si="19"/>
        <v>0</v>
      </c>
      <c r="X23" s="30">
        <f t="shared" si="20"/>
        <v>0</v>
      </c>
      <c r="Y23" s="30">
        <f t="shared" si="21"/>
        <v>0</v>
      </c>
    </row>
    <row r="24" spans="1:25" x14ac:dyDescent="0.2">
      <c r="A24" s="28" t="s">
        <v>34</v>
      </c>
      <c r="B24" s="30">
        <f t="shared" si="5"/>
        <v>25251</v>
      </c>
      <c r="C24" s="30">
        <f t="shared" si="6"/>
        <v>0</v>
      </c>
      <c r="D24" s="30">
        <f t="shared" si="7"/>
        <v>0</v>
      </c>
      <c r="E24" s="30">
        <f t="shared" si="8"/>
        <v>0</v>
      </c>
      <c r="F24" s="30">
        <f t="shared" ref="F24:M24" si="27">F23+F12</f>
        <v>7504</v>
      </c>
      <c r="G24" s="30">
        <f t="shared" si="27"/>
        <v>0</v>
      </c>
      <c r="H24" s="30">
        <f t="shared" si="27"/>
        <v>0</v>
      </c>
      <c r="I24" s="30">
        <f t="shared" si="27"/>
        <v>0</v>
      </c>
      <c r="J24" s="30">
        <f t="shared" si="27"/>
        <v>43537</v>
      </c>
      <c r="K24" s="30">
        <f t="shared" si="27"/>
        <v>0</v>
      </c>
      <c r="L24" s="30">
        <f t="shared" si="27"/>
        <v>0</v>
      </c>
      <c r="M24" s="30">
        <f t="shared" si="27"/>
        <v>0</v>
      </c>
      <c r="N24" s="30">
        <f t="shared" si="10"/>
        <v>40275</v>
      </c>
      <c r="O24" s="30">
        <f t="shared" si="11"/>
        <v>0</v>
      </c>
      <c r="P24" s="30">
        <f t="shared" si="12"/>
        <v>0</v>
      </c>
      <c r="Q24" s="30">
        <f t="shared" si="13"/>
        <v>0</v>
      </c>
      <c r="R24" s="30">
        <f t="shared" si="14"/>
        <v>1728</v>
      </c>
      <c r="S24" s="30">
        <f t="shared" si="15"/>
        <v>0</v>
      </c>
      <c r="T24" s="30">
        <f t="shared" si="16"/>
        <v>0</v>
      </c>
      <c r="U24" s="30">
        <f t="shared" si="17"/>
        <v>0</v>
      </c>
      <c r="V24" s="30">
        <f t="shared" si="18"/>
        <v>8946</v>
      </c>
      <c r="W24" s="30">
        <f t="shared" si="19"/>
        <v>0</v>
      </c>
      <c r="X24" s="30">
        <f t="shared" si="20"/>
        <v>0</v>
      </c>
      <c r="Y24" s="30">
        <f t="shared" si="21"/>
        <v>0</v>
      </c>
    </row>
    <row r="25" spans="1:25" x14ac:dyDescent="0.2">
      <c r="A25" s="29" t="s">
        <v>35</v>
      </c>
      <c r="B25" s="31">
        <f t="shared" si="5"/>
        <v>28054</v>
      </c>
      <c r="C25" s="31">
        <f t="shared" si="6"/>
        <v>0</v>
      </c>
      <c r="D25" s="31">
        <f t="shared" si="7"/>
        <v>0</v>
      </c>
      <c r="E25" s="31">
        <f t="shared" si="8"/>
        <v>0</v>
      </c>
      <c r="F25" s="31">
        <f t="shared" ref="F25:M25" si="28">F24+F13</f>
        <v>8336</v>
      </c>
      <c r="G25" s="31">
        <f t="shared" si="28"/>
        <v>0</v>
      </c>
      <c r="H25" s="31">
        <f t="shared" si="28"/>
        <v>0</v>
      </c>
      <c r="I25" s="31">
        <f t="shared" si="28"/>
        <v>0</v>
      </c>
      <c r="J25" s="31">
        <f t="shared" si="28"/>
        <v>50356</v>
      </c>
      <c r="K25" s="31">
        <f t="shared" si="28"/>
        <v>0</v>
      </c>
      <c r="L25" s="31">
        <f t="shared" si="28"/>
        <v>0</v>
      </c>
      <c r="M25" s="31">
        <f t="shared" si="28"/>
        <v>0</v>
      </c>
      <c r="N25" s="31">
        <f t="shared" si="10"/>
        <v>44380</v>
      </c>
      <c r="O25" s="31">
        <f t="shared" si="11"/>
        <v>0</v>
      </c>
      <c r="P25" s="31">
        <f t="shared" si="12"/>
        <v>0</v>
      </c>
      <c r="Q25" s="31">
        <f t="shared" si="13"/>
        <v>0</v>
      </c>
      <c r="R25" s="31">
        <f t="shared" si="14"/>
        <v>1819</v>
      </c>
      <c r="S25" s="31">
        <f t="shared" si="15"/>
        <v>0</v>
      </c>
      <c r="T25" s="31">
        <f t="shared" si="16"/>
        <v>0</v>
      </c>
      <c r="U25" s="31">
        <f t="shared" si="17"/>
        <v>0</v>
      </c>
      <c r="V25" s="31">
        <f t="shared" si="18"/>
        <v>9896</v>
      </c>
      <c r="W25" s="31">
        <f t="shared" si="19"/>
        <v>0</v>
      </c>
      <c r="X25" s="31">
        <f t="shared" si="20"/>
        <v>0</v>
      </c>
      <c r="Y25" s="31">
        <f t="shared" si="21"/>
        <v>0</v>
      </c>
    </row>
    <row r="26" spans="1:25" x14ac:dyDescent="0.2">
      <c r="A26" s="29" t="s">
        <v>36</v>
      </c>
      <c r="B26" s="31">
        <f t="shared" si="5"/>
        <v>30857</v>
      </c>
      <c r="C26" s="31">
        <f t="shared" si="6"/>
        <v>0</v>
      </c>
      <c r="D26" s="31">
        <f t="shared" si="7"/>
        <v>0</v>
      </c>
      <c r="E26" s="31">
        <f t="shared" si="8"/>
        <v>0</v>
      </c>
      <c r="F26" s="31">
        <f t="shared" ref="F26:M26" si="29">F25+F14</f>
        <v>9168</v>
      </c>
      <c r="G26" s="31">
        <f t="shared" si="29"/>
        <v>0</v>
      </c>
      <c r="H26" s="31">
        <f t="shared" si="29"/>
        <v>0</v>
      </c>
      <c r="I26" s="31">
        <f t="shared" si="29"/>
        <v>0</v>
      </c>
      <c r="J26" s="31">
        <f t="shared" si="29"/>
        <v>57171</v>
      </c>
      <c r="K26" s="31">
        <f t="shared" si="29"/>
        <v>0</v>
      </c>
      <c r="L26" s="31">
        <f t="shared" si="29"/>
        <v>0</v>
      </c>
      <c r="M26" s="31">
        <f t="shared" si="29"/>
        <v>0</v>
      </c>
      <c r="N26" s="31">
        <f t="shared" si="10"/>
        <v>48485</v>
      </c>
      <c r="O26" s="31">
        <f t="shared" si="11"/>
        <v>0</v>
      </c>
      <c r="P26" s="31">
        <f t="shared" si="12"/>
        <v>0</v>
      </c>
      <c r="Q26" s="31">
        <f t="shared" si="13"/>
        <v>0</v>
      </c>
      <c r="R26" s="31">
        <f t="shared" si="14"/>
        <v>1910</v>
      </c>
      <c r="S26" s="31">
        <f t="shared" si="15"/>
        <v>0</v>
      </c>
      <c r="T26" s="31">
        <f t="shared" si="16"/>
        <v>0</v>
      </c>
      <c r="U26" s="31">
        <f t="shared" si="17"/>
        <v>0</v>
      </c>
      <c r="V26" s="31">
        <f t="shared" si="18"/>
        <v>10846</v>
      </c>
      <c r="W26" s="31">
        <f t="shared" si="19"/>
        <v>0</v>
      </c>
      <c r="X26" s="31">
        <f t="shared" si="20"/>
        <v>0</v>
      </c>
      <c r="Y26" s="31">
        <f t="shared" si="21"/>
        <v>0</v>
      </c>
    </row>
    <row r="27" spans="1:25" x14ac:dyDescent="0.2">
      <c r="A27" s="12" t="s">
        <v>15</v>
      </c>
      <c r="B27" s="32">
        <f t="shared" si="5"/>
        <v>33660</v>
      </c>
      <c r="C27" s="32">
        <f t="shared" si="6"/>
        <v>0</v>
      </c>
      <c r="D27" s="32">
        <f t="shared" si="7"/>
        <v>0</v>
      </c>
      <c r="E27" s="32">
        <f t="shared" si="8"/>
        <v>0</v>
      </c>
      <c r="F27" s="32">
        <f t="shared" ref="F27:M27" si="30">F26+F15</f>
        <v>10000</v>
      </c>
      <c r="G27" s="32">
        <f t="shared" si="30"/>
        <v>0</v>
      </c>
      <c r="H27" s="32">
        <f t="shared" si="30"/>
        <v>0</v>
      </c>
      <c r="I27" s="32">
        <f t="shared" si="30"/>
        <v>0</v>
      </c>
      <c r="J27" s="32">
        <f t="shared" si="30"/>
        <v>63986</v>
      </c>
      <c r="K27" s="32">
        <f t="shared" si="30"/>
        <v>0</v>
      </c>
      <c r="L27" s="32">
        <f t="shared" si="30"/>
        <v>0</v>
      </c>
      <c r="M27" s="32">
        <f t="shared" si="30"/>
        <v>0</v>
      </c>
      <c r="N27" s="32">
        <f t="shared" si="10"/>
        <v>52599</v>
      </c>
      <c r="O27" s="32">
        <f t="shared" si="11"/>
        <v>0</v>
      </c>
      <c r="P27" s="32">
        <f t="shared" si="12"/>
        <v>0</v>
      </c>
      <c r="Q27" s="32">
        <f t="shared" si="13"/>
        <v>0</v>
      </c>
      <c r="R27" s="32">
        <f t="shared" si="14"/>
        <v>2000</v>
      </c>
      <c r="S27" s="32">
        <f t="shared" si="15"/>
        <v>0</v>
      </c>
      <c r="T27" s="32">
        <f t="shared" si="16"/>
        <v>0</v>
      </c>
      <c r="U27" s="32">
        <f t="shared" si="17"/>
        <v>0</v>
      </c>
      <c r="V27" s="32">
        <f t="shared" si="18"/>
        <v>11800</v>
      </c>
      <c r="W27" s="32">
        <f t="shared" si="19"/>
        <v>0</v>
      </c>
      <c r="X27" s="32">
        <f t="shared" si="20"/>
        <v>0</v>
      </c>
      <c r="Y27" s="32">
        <f t="shared" si="21"/>
        <v>0</v>
      </c>
    </row>
  </sheetData>
  <mergeCells count="12">
    <mergeCell ref="V1:Y1"/>
    <mergeCell ref="W2:Y2"/>
    <mergeCell ref="N1:Q1"/>
    <mergeCell ref="O2:Q2"/>
    <mergeCell ref="R1:U1"/>
    <mergeCell ref="S2:U2"/>
    <mergeCell ref="K2:M2"/>
    <mergeCell ref="J1:M1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6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I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9.5703125" bestFit="1" customWidth="1"/>
    <col min="5" max="5" width="9.5703125" customWidth="1"/>
    <col min="7" max="7" width="11" bestFit="1" customWidth="1"/>
    <col min="8" max="8" width="9.5703125" bestFit="1" customWidth="1"/>
    <col min="9" max="9" width="9.5703125" customWidth="1"/>
    <col min="10" max="10" width="5.85546875" customWidth="1"/>
    <col min="12" max="12" width="9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267</v>
      </c>
      <c r="C4" s="22"/>
      <c r="D4" s="22"/>
      <c r="E4" s="22"/>
      <c r="F4" s="22">
        <v>712</v>
      </c>
      <c r="G4" s="22"/>
      <c r="H4" s="22"/>
      <c r="I4" s="125"/>
      <c r="J4" s="22">
        <v>1080</v>
      </c>
      <c r="K4" s="22"/>
      <c r="L4" s="22"/>
      <c r="M4" s="22"/>
      <c r="N4" s="22">
        <v>1298</v>
      </c>
      <c r="O4" s="22"/>
      <c r="P4" s="22"/>
      <c r="Q4" s="22"/>
      <c r="R4" s="22">
        <v>290</v>
      </c>
      <c r="S4" s="22"/>
      <c r="T4" s="22"/>
      <c r="U4" s="22"/>
      <c r="V4" s="22">
        <v>102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267</v>
      </c>
      <c r="C5" s="22"/>
      <c r="D5" s="22"/>
      <c r="E5" s="22"/>
      <c r="F5" s="22">
        <v>712</v>
      </c>
      <c r="G5" s="22"/>
      <c r="H5" s="22"/>
      <c r="I5" s="125"/>
      <c r="J5" s="22">
        <v>1080</v>
      </c>
      <c r="K5" s="22"/>
      <c r="L5" s="22"/>
      <c r="M5" s="22"/>
      <c r="N5" s="22">
        <v>1298</v>
      </c>
      <c r="O5" s="22"/>
      <c r="P5" s="22"/>
      <c r="Q5" s="22"/>
      <c r="R5" s="22">
        <v>290</v>
      </c>
      <c r="S5" s="22"/>
      <c r="T5" s="22"/>
      <c r="U5" s="22"/>
      <c r="V5" s="22">
        <v>102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267</v>
      </c>
      <c r="C6" s="22"/>
      <c r="D6" s="22"/>
      <c r="E6" s="22"/>
      <c r="F6" s="22">
        <v>712</v>
      </c>
      <c r="G6" s="22"/>
      <c r="H6" s="22"/>
      <c r="I6" s="125"/>
      <c r="J6" s="22">
        <v>1073</v>
      </c>
      <c r="K6" s="22"/>
      <c r="L6" s="22"/>
      <c r="M6" s="22"/>
      <c r="N6" s="22">
        <v>1295</v>
      </c>
      <c r="O6" s="22"/>
      <c r="P6" s="22"/>
      <c r="Q6" s="22"/>
      <c r="R6" s="22">
        <v>290</v>
      </c>
      <c r="S6" s="22"/>
      <c r="T6" s="22"/>
      <c r="U6" s="22"/>
      <c r="V6" s="22">
        <v>102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267</v>
      </c>
      <c r="C7" s="22"/>
      <c r="D7" s="22"/>
      <c r="E7" s="22"/>
      <c r="F7" s="22">
        <v>710</v>
      </c>
      <c r="G7" s="22"/>
      <c r="H7" s="22"/>
      <c r="I7" s="125"/>
      <c r="J7" s="22">
        <v>1087</v>
      </c>
      <c r="K7" s="22"/>
      <c r="L7" s="22"/>
      <c r="M7" s="22"/>
      <c r="N7" s="22">
        <v>1304</v>
      </c>
      <c r="O7" s="22"/>
      <c r="P7" s="22"/>
      <c r="Q7" s="22"/>
      <c r="R7" s="22">
        <v>295</v>
      </c>
      <c r="S7" s="22"/>
      <c r="T7" s="22"/>
      <c r="U7" s="22"/>
      <c r="V7" s="22">
        <v>102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267</v>
      </c>
      <c r="C8" s="22"/>
      <c r="D8" s="22"/>
      <c r="E8" s="22"/>
      <c r="F8" s="22">
        <v>710</v>
      </c>
      <c r="G8" s="22"/>
      <c r="H8" s="22"/>
      <c r="I8" s="125"/>
      <c r="J8" s="22">
        <v>1087</v>
      </c>
      <c r="K8" s="22"/>
      <c r="L8" s="22"/>
      <c r="M8" s="22"/>
      <c r="N8" s="22">
        <v>1303</v>
      </c>
      <c r="O8" s="22"/>
      <c r="P8" s="22"/>
      <c r="Q8" s="22"/>
      <c r="R8" s="22">
        <v>295</v>
      </c>
      <c r="S8" s="22"/>
      <c r="T8" s="22"/>
      <c r="U8" s="22"/>
      <c r="V8" s="22">
        <v>102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267</v>
      </c>
      <c r="C9" s="22"/>
      <c r="D9" s="22"/>
      <c r="E9" s="22"/>
      <c r="F9" s="22">
        <v>710</v>
      </c>
      <c r="G9" s="22"/>
      <c r="H9" s="22"/>
      <c r="I9" s="125"/>
      <c r="J9" s="22">
        <v>1083</v>
      </c>
      <c r="K9" s="22"/>
      <c r="L9" s="22"/>
      <c r="M9" s="22"/>
      <c r="N9" s="22">
        <v>1302</v>
      </c>
      <c r="O9" s="22"/>
      <c r="P9" s="22"/>
      <c r="Q9" s="22"/>
      <c r="R9" s="22">
        <v>294</v>
      </c>
      <c r="S9" s="22"/>
      <c r="T9" s="22"/>
      <c r="U9" s="22"/>
      <c r="V9" s="22">
        <v>102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267</v>
      </c>
      <c r="C10" s="22"/>
      <c r="D10" s="22"/>
      <c r="E10" s="22"/>
      <c r="F10" s="22">
        <v>1035</v>
      </c>
      <c r="G10" s="22"/>
      <c r="H10" s="22"/>
      <c r="I10" s="125"/>
      <c r="J10" s="22">
        <v>2873</v>
      </c>
      <c r="K10" s="22"/>
      <c r="L10" s="22"/>
      <c r="M10" s="22"/>
      <c r="N10" s="22">
        <v>797</v>
      </c>
      <c r="O10" s="22"/>
      <c r="P10" s="22"/>
      <c r="Q10" s="22"/>
      <c r="R10" s="22">
        <v>614</v>
      </c>
      <c r="S10" s="22"/>
      <c r="T10" s="22"/>
      <c r="U10" s="22"/>
      <c r="V10" s="22">
        <v>85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267</v>
      </c>
      <c r="C11" s="22"/>
      <c r="D11" s="22"/>
      <c r="E11" s="22"/>
      <c r="F11" s="22">
        <v>1035</v>
      </c>
      <c r="G11" s="22"/>
      <c r="H11" s="22"/>
      <c r="I11" s="125"/>
      <c r="J11" s="22">
        <v>2873</v>
      </c>
      <c r="K11" s="22"/>
      <c r="L11" s="22"/>
      <c r="M11" s="22"/>
      <c r="N11" s="22">
        <v>798</v>
      </c>
      <c r="O11" s="22"/>
      <c r="P11" s="22"/>
      <c r="Q11" s="22"/>
      <c r="R11" s="22">
        <v>614</v>
      </c>
      <c r="S11" s="22"/>
      <c r="T11" s="22"/>
      <c r="U11" s="22"/>
      <c r="V11" s="22">
        <v>85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267</v>
      </c>
      <c r="C12" s="22"/>
      <c r="D12" s="22"/>
      <c r="E12" s="22"/>
      <c r="F12" s="22">
        <v>1047</v>
      </c>
      <c r="G12" s="22"/>
      <c r="H12" s="22"/>
      <c r="I12" s="125"/>
      <c r="J12" s="22">
        <v>2874</v>
      </c>
      <c r="K12" s="22"/>
      <c r="L12" s="22"/>
      <c r="M12" s="22"/>
      <c r="N12" s="22">
        <v>799</v>
      </c>
      <c r="O12" s="22"/>
      <c r="P12" s="22"/>
      <c r="Q12" s="22"/>
      <c r="R12" s="22">
        <v>615</v>
      </c>
      <c r="S12" s="22"/>
      <c r="T12" s="22"/>
      <c r="U12" s="22"/>
      <c r="V12" s="22">
        <v>86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266</v>
      </c>
      <c r="C13" s="22"/>
      <c r="D13" s="22"/>
      <c r="E13" s="22"/>
      <c r="F13" s="22">
        <v>1041</v>
      </c>
      <c r="G13" s="22"/>
      <c r="H13" s="22"/>
      <c r="I13" s="125"/>
      <c r="J13" s="22">
        <v>2874</v>
      </c>
      <c r="K13" s="22"/>
      <c r="L13" s="22"/>
      <c r="M13" s="22"/>
      <c r="N13" s="22">
        <v>798</v>
      </c>
      <c r="O13" s="22"/>
      <c r="P13" s="22"/>
      <c r="Q13" s="22"/>
      <c r="R13" s="22">
        <v>616</v>
      </c>
      <c r="S13" s="22"/>
      <c r="T13" s="22"/>
      <c r="U13" s="22"/>
      <c r="V13" s="22">
        <v>87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266</v>
      </c>
      <c r="C14" s="22"/>
      <c r="D14" s="22"/>
      <c r="E14" s="22"/>
      <c r="F14" s="22">
        <v>1041</v>
      </c>
      <c r="G14" s="22"/>
      <c r="H14" s="22"/>
      <c r="I14" s="125"/>
      <c r="J14" s="22">
        <v>2874</v>
      </c>
      <c r="K14" s="22"/>
      <c r="L14" s="22"/>
      <c r="M14" s="22"/>
      <c r="N14" s="22">
        <v>802</v>
      </c>
      <c r="O14" s="22"/>
      <c r="P14" s="22"/>
      <c r="Q14" s="22"/>
      <c r="R14" s="22">
        <v>616</v>
      </c>
      <c r="S14" s="22"/>
      <c r="T14" s="22"/>
      <c r="U14" s="22"/>
      <c r="V14" s="22">
        <v>86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265</v>
      </c>
      <c r="C15" s="22"/>
      <c r="D15" s="22"/>
      <c r="E15" s="22"/>
      <c r="F15" s="22">
        <v>1035</v>
      </c>
      <c r="G15" s="22"/>
      <c r="H15" s="22"/>
      <c r="I15" s="125"/>
      <c r="J15" s="22">
        <v>2875</v>
      </c>
      <c r="K15" s="22"/>
      <c r="L15" s="22"/>
      <c r="M15" s="22"/>
      <c r="N15" s="22">
        <v>804</v>
      </c>
      <c r="O15" s="22"/>
      <c r="P15" s="22"/>
      <c r="Q15" s="22"/>
      <c r="R15" s="22">
        <v>615</v>
      </c>
      <c r="S15" s="22"/>
      <c r="T15" s="22"/>
      <c r="U15" s="22"/>
      <c r="V15" s="22">
        <v>85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3200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10500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23733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12598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5444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1126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534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1424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2160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2596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580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204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801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2136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3233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3891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870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306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1068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2846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4320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5195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1165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408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1335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3556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5407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6498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1460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510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1602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4266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6490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7800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1754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612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1869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5301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9363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8597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2368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697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2136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6336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12236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9395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2982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782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2403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7383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15110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10194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3597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868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2669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8424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17984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10992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4213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955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2935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9465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20858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11794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4829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1041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3200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10500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23733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12598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5444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1126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.75" right="0.75" top="1" bottom="1" header="0.5" footer="0.5"/>
  <pageSetup paperSize="9" scale="3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10.85546875" bestFit="1" customWidth="1"/>
    <col min="9" max="9" width="10.85546875" customWidth="1"/>
    <col min="10" max="12" width="11" bestFit="1" customWidth="1"/>
    <col min="13" max="13" width="12.1406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24" t="s">
        <v>22</v>
      </c>
      <c r="L1" s="25"/>
      <c r="S1" t="s">
        <v>193</v>
      </c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</row>
    <row r="4" spans="1:27" x14ac:dyDescent="0.2">
      <c r="A4" s="1" t="s">
        <v>4</v>
      </c>
      <c r="B4" s="22">
        <v>12640</v>
      </c>
      <c r="C4" s="83"/>
      <c r="D4" s="83"/>
      <c r="E4" s="83"/>
      <c r="F4" s="22">
        <f>G4+H4+I4</f>
        <v>0</v>
      </c>
      <c r="G4" s="83"/>
      <c r="H4" s="83"/>
      <c r="I4" s="83"/>
      <c r="J4" s="199">
        <v>5600</v>
      </c>
      <c r="K4" s="200"/>
      <c r="L4" s="200"/>
      <c r="M4" s="199"/>
    </row>
    <row r="5" spans="1:27" x14ac:dyDescent="0.2">
      <c r="A5" s="1" t="s">
        <v>7</v>
      </c>
      <c r="B5" s="22">
        <v>15088</v>
      </c>
      <c r="C5" s="83"/>
      <c r="D5" s="83"/>
      <c r="E5" s="83"/>
      <c r="F5" s="22">
        <f t="shared" ref="F5:F15" si="0">G5+H5+I5</f>
        <v>0</v>
      </c>
      <c r="G5" s="83"/>
      <c r="H5" s="83"/>
      <c r="I5" s="83"/>
      <c r="J5" s="199">
        <v>6765</v>
      </c>
      <c r="K5" s="200"/>
      <c r="L5" s="200"/>
      <c r="M5" s="199"/>
    </row>
    <row r="6" spans="1:27" x14ac:dyDescent="0.2">
      <c r="A6" s="1" t="s">
        <v>8</v>
      </c>
      <c r="B6" s="22">
        <v>16252</v>
      </c>
      <c r="C6" s="83"/>
      <c r="D6" s="83"/>
      <c r="E6" s="83"/>
      <c r="F6" s="22">
        <f t="shared" si="0"/>
        <v>0</v>
      </c>
      <c r="G6" s="83"/>
      <c r="H6" s="83"/>
      <c r="I6" s="83"/>
      <c r="J6" s="199">
        <v>6765</v>
      </c>
      <c r="K6" s="200"/>
      <c r="L6" s="200"/>
      <c r="M6" s="199"/>
    </row>
    <row r="7" spans="1:27" x14ac:dyDescent="0.2">
      <c r="A7" s="1" t="s">
        <v>16</v>
      </c>
      <c r="B7" s="22">
        <v>17026</v>
      </c>
      <c r="C7" s="83"/>
      <c r="D7" s="83"/>
      <c r="E7" s="83"/>
      <c r="F7" s="22">
        <f t="shared" si="0"/>
        <v>0</v>
      </c>
      <c r="G7" s="83"/>
      <c r="H7" s="83"/>
      <c r="I7" s="83"/>
      <c r="J7" s="199">
        <v>7345</v>
      </c>
      <c r="K7" s="200"/>
      <c r="L7" s="200"/>
      <c r="M7" s="199"/>
    </row>
    <row r="8" spans="1:27" x14ac:dyDescent="0.2">
      <c r="A8" s="1" t="s">
        <v>17</v>
      </c>
      <c r="B8" s="22">
        <v>14780</v>
      </c>
      <c r="C8" s="83"/>
      <c r="D8" s="83"/>
      <c r="E8" s="83"/>
      <c r="F8" s="22">
        <f t="shared" si="0"/>
        <v>0</v>
      </c>
      <c r="G8" s="83"/>
      <c r="H8" s="83"/>
      <c r="I8" s="83"/>
      <c r="J8" s="199">
        <v>6270</v>
      </c>
      <c r="K8" s="200"/>
      <c r="L8" s="200"/>
      <c r="M8" s="199"/>
    </row>
    <row r="9" spans="1:27" x14ac:dyDescent="0.2">
      <c r="A9" s="1" t="s">
        <v>18</v>
      </c>
      <c r="B9" s="22">
        <v>15979</v>
      </c>
      <c r="C9" s="83"/>
      <c r="D9" s="83"/>
      <c r="E9" s="83"/>
      <c r="F9" s="22">
        <f t="shared" si="0"/>
        <v>0</v>
      </c>
      <c r="G9" s="83"/>
      <c r="H9" s="83"/>
      <c r="I9" s="83"/>
      <c r="J9" s="199">
        <v>6675</v>
      </c>
      <c r="K9" s="200"/>
      <c r="L9" s="200"/>
      <c r="M9" s="199"/>
    </row>
    <row r="10" spans="1:27" x14ac:dyDescent="0.2">
      <c r="A10" s="82" t="s">
        <v>19</v>
      </c>
      <c r="B10" s="22">
        <v>15924</v>
      </c>
      <c r="C10" s="83"/>
      <c r="D10" s="83"/>
      <c r="E10" s="83"/>
      <c r="F10" s="22">
        <f t="shared" si="0"/>
        <v>0</v>
      </c>
      <c r="G10" s="83"/>
      <c r="H10" s="83"/>
      <c r="I10" s="83"/>
      <c r="J10" s="199">
        <v>7835</v>
      </c>
      <c r="K10" s="200"/>
      <c r="L10" s="200"/>
      <c r="M10" s="199"/>
    </row>
    <row r="11" spans="1:27" x14ac:dyDescent="0.2">
      <c r="A11" s="1" t="s">
        <v>10</v>
      </c>
      <c r="B11" s="22">
        <v>15744</v>
      </c>
      <c r="C11" s="83"/>
      <c r="D11" s="83"/>
      <c r="E11" s="83"/>
      <c r="F11" s="22">
        <f t="shared" si="0"/>
        <v>0</v>
      </c>
      <c r="G11" s="83"/>
      <c r="H11" s="83"/>
      <c r="I11" s="83"/>
      <c r="J11" s="199">
        <v>7595</v>
      </c>
      <c r="K11" s="200"/>
      <c r="L11" s="200"/>
      <c r="M11" s="199"/>
    </row>
    <row r="12" spans="1:27" x14ac:dyDescent="0.2">
      <c r="A12" s="1" t="s">
        <v>11</v>
      </c>
      <c r="B12" s="22">
        <v>16105</v>
      </c>
      <c r="C12" s="83"/>
      <c r="D12" s="83"/>
      <c r="E12" s="83"/>
      <c r="F12" s="22">
        <f t="shared" si="0"/>
        <v>0</v>
      </c>
      <c r="G12" s="83"/>
      <c r="H12" s="83"/>
      <c r="I12" s="83"/>
      <c r="J12" s="199">
        <v>7305</v>
      </c>
      <c r="K12" s="200"/>
      <c r="L12" s="200"/>
      <c r="M12" s="199"/>
    </row>
    <row r="13" spans="1:27" x14ac:dyDescent="0.2">
      <c r="A13" s="1" t="s">
        <v>12</v>
      </c>
      <c r="B13" s="22">
        <v>16657</v>
      </c>
      <c r="C13" s="83"/>
      <c r="D13" s="83"/>
      <c r="E13" s="83"/>
      <c r="F13" s="22">
        <f t="shared" si="0"/>
        <v>0</v>
      </c>
      <c r="G13" s="83"/>
      <c r="H13" s="83"/>
      <c r="I13" s="83"/>
      <c r="J13" s="199">
        <v>6732</v>
      </c>
      <c r="K13" s="200"/>
      <c r="L13" s="200"/>
      <c r="M13" s="199"/>
    </row>
    <row r="14" spans="1:27" x14ac:dyDescent="0.2">
      <c r="A14" s="1" t="s">
        <v>13</v>
      </c>
      <c r="B14" s="22">
        <v>17201</v>
      </c>
      <c r="C14" s="83"/>
      <c r="D14" s="83"/>
      <c r="E14" s="83"/>
      <c r="F14" s="22">
        <f t="shared" si="0"/>
        <v>0</v>
      </c>
      <c r="G14" s="83"/>
      <c r="H14" s="83"/>
      <c r="I14" s="83"/>
      <c r="J14" s="199">
        <v>5863</v>
      </c>
      <c r="K14" s="200"/>
      <c r="L14" s="200"/>
      <c r="M14" s="199"/>
    </row>
    <row r="15" spans="1:27" x14ac:dyDescent="0.2">
      <c r="A15" s="1" t="s">
        <v>14</v>
      </c>
      <c r="B15" s="22">
        <v>17004</v>
      </c>
      <c r="C15" s="83"/>
      <c r="D15" s="83"/>
      <c r="E15" s="83"/>
      <c r="F15" s="22">
        <f t="shared" si="0"/>
        <v>0</v>
      </c>
      <c r="G15" s="83"/>
      <c r="H15" s="83"/>
      <c r="I15" s="83"/>
      <c r="J15" s="199">
        <v>6240</v>
      </c>
      <c r="K15" s="200"/>
      <c r="L15" s="200"/>
      <c r="M15" s="199"/>
    </row>
    <row r="16" spans="1:27" x14ac:dyDescent="0.2">
      <c r="A16" s="1" t="s">
        <v>6</v>
      </c>
      <c r="B16" s="22">
        <f>SUM(B4:B15)</f>
        <v>190400</v>
      </c>
      <c r="C16" s="22">
        <f t="shared" ref="C16:J16" si="1">SUM(C4:C15)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83">
        <f t="shared" si="1"/>
        <v>0</v>
      </c>
      <c r="H16" s="83">
        <f t="shared" si="1"/>
        <v>0</v>
      </c>
      <c r="I16" s="83">
        <f t="shared" si="1"/>
        <v>0</v>
      </c>
      <c r="J16" s="199">
        <f t="shared" si="1"/>
        <v>80990</v>
      </c>
      <c r="K16" s="200">
        <f>SUM(K4:K15)</f>
        <v>0</v>
      </c>
      <c r="L16" s="200">
        <f>SUM(L4:L15)</f>
        <v>0</v>
      </c>
      <c r="M16" s="200">
        <f>SUM(M4:M15)</f>
        <v>0</v>
      </c>
    </row>
    <row r="17" spans="1:13" x14ac:dyDescent="0.2">
      <c r="A17" s="28" t="s">
        <v>28</v>
      </c>
      <c r="B17" s="30">
        <f t="shared" ref="B17:L17" si="2">B4+B5</f>
        <v>27728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12365</v>
      </c>
      <c r="K17" s="30">
        <f t="shared" si="2"/>
        <v>0</v>
      </c>
      <c r="L17" s="30">
        <f t="shared" si="2"/>
        <v>0</v>
      </c>
      <c r="M17" s="30">
        <f>M4+M5</f>
        <v>0</v>
      </c>
    </row>
    <row r="18" spans="1:13" x14ac:dyDescent="0.2">
      <c r="A18" s="28" t="s">
        <v>96</v>
      </c>
      <c r="B18" s="30">
        <f t="shared" ref="B18:M27" si="3">B17+B6</f>
        <v>43980</v>
      </c>
      <c r="C18" s="30">
        <f t="shared" si="3"/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19130</v>
      </c>
      <c r="K18" s="30">
        <f t="shared" si="3"/>
        <v>0</v>
      </c>
      <c r="L18" s="30">
        <f t="shared" si="3"/>
        <v>0</v>
      </c>
      <c r="M18" s="30">
        <f t="shared" si="3"/>
        <v>0</v>
      </c>
    </row>
    <row r="19" spans="1:13" x14ac:dyDescent="0.2">
      <c r="A19" s="28" t="s">
        <v>29</v>
      </c>
      <c r="B19" s="30">
        <f t="shared" si="3"/>
        <v>61006</v>
      </c>
      <c r="C19" s="30">
        <f t="shared" si="3"/>
        <v>0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  <c r="H19" s="30">
        <f t="shared" si="3"/>
        <v>0</v>
      </c>
      <c r="I19" s="30">
        <f t="shared" si="3"/>
        <v>0</v>
      </c>
      <c r="J19" s="30">
        <f t="shared" si="3"/>
        <v>26475</v>
      </c>
      <c r="K19" s="30">
        <f t="shared" si="3"/>
        <v>0</v>
      </c>
      <c r="L19" s="30">
        <f t="shared" si="3"/>
        <v>0</v>
      </c>
      <c r="M19" s="30">
        <f t="shared" si="3"/>
        <v>0</v>
      </c>
    </row>
    <row r="20" spans="1:13" x14ac:dyDescent="0.2">
      <c r="A20" s="28" t="s">
        <v>30</v>
      </c>
      <c r="B20" s="30">
        <f t="shared" si="3"/>
        <v>75786</v>
      </c>
      <c r="C20" s="30">
        <f t="shared" si="3"/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32745</v>
      </c>
      <c r="K20" s="30">
        <f t="shared" si="3"/>
        <v>0</v>
      </c>
      <c r="L20" s="30">
        <f t="shared" si="3"/>
        <v>0</v>
      </c>
      <c r="M20" s="30">
        <f t="shared" si="3"/>
        <v>0</v>
      </c>
    </row>
    <row r="21" spans="1:13" x14ac:dyDescent="0.2">
      <c r="A21" s="28" t="s">
        <v>31</v>
      </c>
      <c r="B21" s="30">
        <f t="shared" si="3"/>
        <v>91765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39420</v>
      </c>
      <c r="K21" s="30">
        <f t="shared" si="3"/>
        <v>0</v>
      </c>
      <c r="L21" s="30">
        <f t="shared" si="3"/>
        <v>0</v>
      </c>
      <c r="M21" s="30">
        <f t="shared" si="3"/>
        <v>0</v>
      </c>
    </row>
    <row r="22" spans="1:13" x14ac:dyDescent="0.2">
      <c r="A22" s="28" t="s">
        <v>32</v>
      </c>
      <c r="B22" s="30">
        <f t="shared" si="3"/>
        <v>107689</v>
      </c>
      <c r="C22" s="30">
        <f t="shared" si="3"/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47255</v>
      </c>
      <c r="K22" s="30">
        <f t="shared" si="3"/>
        <v>0</v>
      </c>
      <c r="L22" s="30">
        <f t="shared" si="3"/>
        <v>0</v>
      </c>
      <c r="M22" s="30">
        <f t="shared" si="3"/>
        <v>0</v>
      </c>
    </row>
    <row r="23" spans="1:13" x14ac:dyDescent="0.2">
      <c r="A23" s="28" t="s">
        <v>33</v>
      </c>
      <c r="B23" s="30">
        <f t="shared" si="3"/>
        <v>123433</v>
      </c>
      <c r="C23" s="30">
        <f t="shared" si="3"/>
        <v>0</v>
      </c>
      <c r="D23" s="30">
        <f t="shared" si="3"/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54850</v>
      </c>
      <c r="K23" s="30">
        <f t="shared" si="3"/>
        <v>0</v>
      </c>
      <c r="L23" s="30">
        <f t="shared" si="3"/>
        <v>0</v>
      </c>
      <c r="M23" s="30">
        <f t="shared" si="3"/>
        <v>0</v>
      </c>
    </row>
    <row r="24" spans="1:13" x14ac:dyDescent="0.2">
      <c r="A24" s="28" t="s">
        <v>34</v>
      </c>
      <c r="B24" s="30">
        <f t="shared" si="3"/>
        <v>139538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62155</v>
      </c>
      <c r="K24" s="30">
        <f t="shared" si="3"/>
        <v>0</v>
      </c>
      <c r="L24" s="30">
        <f t="shared" si="3"/>
        <v>0</v>
      </c>
      <c r="M24" s="30">
        <f t="shared" si="3"/>
        <v>0</v>
      </c>
    </row>
    <row r="25" spans="1:13" x14ac:dyDescent="0.2">
      <c r="A25" s="29" t="s">
        <v>35</v>
      </c>
      <c r="B25" s="31">
        <f t="shared" si="3"/>
        <v>156195</v>
      </c>
      <c r="C25" s="31">
        <f t="shared" si="3"/>
        <v>0</v>
      </c>
      <c r="D25" s="31">
        <f t="shared" si="3"/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 t="shared" si="3"/>
        <v>0</v>
      </c>
      <c r="I25" s="31">
        <f t="shared" si="3"/>
        <v>0</v>
      </c>
      <c r="J25" s="31">
        <f t="shared" si="3"/>
        <v>68887</v>
      </c>
      <c r="K25" s="31">
        <f t="shared" si="3"/>
        <v>0</v>
      </c>
      <c r="L25" s="31">
        <f t="shared" si="3"/>
        <v>0</v>
      </c>
      <c r="M25" s="31">
        <f t="shared" si="3"/>
        <v>0</v>
      </c>
    </row>
    <row r="26" spans="1:13" x14ac:dyDescent="0.2">
      <c r="A26" s="29" t="s">
        <v>36</v>
      </c>
      <c r="B26" s="31">
        <f t="shared" si="3"/>
        <v>173396</v>
      </c>
      <c r="C26" s="31">
        <f t="shared" si="3"/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74750</v>
      </c>
      <c r="K26" s="31">
        <f t="shared" si="3"/>
        <v>0</v>
      </c>
      <c r="L26" s="31">
        <f t="shared" si="3"/>
        <v>0</v>
      </c>
      <c r="M26" s="31">
        <f t="shared" si="3"/>
        <v>0</v>
      </c>
    </row>
    <row r="27" spans="1:13" x14ac:dyDescent="0.2">
      <c r="A27" s="12" t="s">
        <v>15</v>
      </c>
      <c r="B27" s="32">
        <f t="shared" si="3"/>
        <v>190400</v>
      </c>
      <c r="C27" s="32">
        <f t="shared" si="3"/>
        <v>0</v>
      </c>
      <c r="D27" s="32">
        <f t="shared" si="3"/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80990</v>
      </c>
      <c r="K27" s="32">
        <f t="shared" si="3"/>
        <v>0</v>
      </c>
      <c r="L27" s="32">
        <f t="shared" si="3"/>
        <v>0</v>
      </c>
      <c r="M27" s="32">
        <f t="shared" si="3"/>
        <v>0</v>
      </c>
    </row>
    <row r="28" spans="1:13" x14ac:dyDescent="0.2">
      <c r="C28" s="16"/>
      <c r="D28" s="16"/>
      <c r="E28" s="16"/>
      <c r="G28" s="16"/>
      <c r="H28" s="16"/>
      <c r="I28" s="16"/>
      <c r="L28" s="16"/>
    </row>
    <row r="29" spans="1:13" x14ac:dyDescent="0.2">
      <c r="C29" s="16"/>
      <c r="D29" s="16"/>
      <c r="E29" s="16"/>
      <c r="L29" s="16"/>
    </row>
    <row r="30" spans="1:13" x14ac:dyDescent="0.2">
      <c r="C30" s="16"/>
      <c r="D30" s="16"/>
      <c r="E30" s="16"/>
      <c r="L30" s="16"/>
    </row>
    <row r="31" spans="1:13" x14ac:dyDescent="0.2">
      <c r="C31" s="16"/>
      <c r="D31" s="16"/>
      <c r="E31" s="16"/>
      <c r="L31" s="16"/>
    </row>
    <row r="32" spans="1:13" x14ac:dyDescent="0.2">
      <c r="C32" s="16"/>
      <c r="D32" s="16"/>
      <c r="E32" s="16"/>
      <c r="L32" s="16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</sheetData>
  <mergeCells count="5">
    <mergeCell ref="K2:M2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E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2" max="2" width="9.7109375" customWidth="1"/>
    <col min="3" max="3" width="10.5703125" bestFit="1" customWidth="1"/>
    <col min="6" max="6" width="10.5703125" bestFit="1" customWidth="1"/>
    <col min="7" max="10" width="10.5703125" customWidth="1"/>
    <col min="12" max="12" width="9.5703125" bestFit="1" customWidth="1"/>
  </cols>
  <sheetData>
    <row r="1" spans="1:27" x14ac:dyDescent="0.2">
      <c r="A1" s="2"/>
      <c r="B1" s="359" t="s">
        <v>0</v>
      </c>
      <c r="C1" s="358"/>
      <c r="D1" s="358"/>
      <c r="E1" s="20"/>
      <c r="F1" s="359" t="s">
        <v>1</v>
      </c>
      <c r="G1" s="358"/>
      <c r="H1" s="358"/>
      <c r="I1" s="20"/>
      <c r="J1" s="359" t="s">
        <v>22</v>
      </c>
      <c r="K1" s="358"/>
      <c r="L1" s="358"/>
      <c r="N1" s="359" t="s">
        <v>192</v>
      </c>
      <c r="O1" s="358"/>
      <c r="P1" s="358"/>
      <c r="S1" t="s">
        <v>193</v>
      </c>
      <c r="W1" t="s">
        <v>173</v>
      </c>
      <c r="AA1" t="s">
        <v>173</v>
      </c>
    </row>
    <row r="2" spans="1:27" x14ac:dyDescent="0.2">
      <c r="A2" s="3" t="s">
        <v>3</v>
      </c>
      <c r="B2" s="14" t="s">
        <v>24</v>
      </c>
      <c r="C2" s="359" t="s">
        <v>25</v>
      </c>
      <c r="D2" s="358"/>
      <c r="E2" s="362"/>
      <c r="F2" s="14" t="s">
        <v>24</v>
      </c>
      <c r="G2" s="359" t="s">
        <v>25</v>
      </c>
      <c r="H2" s="358"/>
      <c r="I2" s="362"/>
      <c r="J2" s="14" t="s">
        <v>24</v>
      </c>
      <c r="K2" s="359" t="s">
        <v>25</v>
      </c>
      <c r="L2" s="358"/>
      <c r="M2" s="362"/>
      <c r="N2" s="14" t="s">
        <v>24</v>
      </c>
      <c r="O2" s="359" t="s">
        <v>25</v>
      </c>
      <c r="P2" s="358"/>
      <c r="Q2" s="362"/>
    </row>
    <row r="3" spans="1:27" x14ac:dyDescent="0.2">
      <c r="A3" s="4"/>
      <c r="B3" s="4"/>
      <c r="C3" t="s">
        <v>5</v>
      </c>
      <c r="D3" s="4" t="s">
        <v>26</v>
      </c>
      <c r="E3" s="4" t="s">
        <v>105</v>
      </c>
      <c r="F3" s="4"/>
      <c r="G3" t="s">
        <v>5</v>
      </c>
      <c r="H3" s="4" t="s">
        <v>26</v>
      </c>
      <c r="I3" s="4" t="s">
        <v>105</v>
      </c>
      <c r="J3" s="4"/>
      <c r="K3" t="s">
        <v>5</v>
      </c>
      <c r="L3" s="4" t="s">
        <v>26</v>
      </c>
      <c r="M3" s="4" t="s">
        <v>105</v>
      </c>
      <c r="N3" s="4"/>
      <c r="O3" t="s">
        <v>5</v>
      </c>
      <c r="P3" s="4" t="s">
        <v>26</v>
      </c>
      <c r="Q3" s="4" t="s">
        <v>105</v>
      </c>
    </row>
    <row r="4" spans="1:27" x14ac:dyDescent="0.2">
      <c r="A4" s="3" t="s">
        <v>4</v>
      </c>
      <c r="B4" s="22">
        <v>2480</v>
      </c>
      <c r="C4" s="22"/>
      <c r="D4" s="22"/>
      <c r="E4" s="22"/>
      <c r="F4" s="22">
        <v>835</v>
      </c>
      <c r="G4" s="22"/>
      <c r="H4" s="22"/>
      <c r="I4" s="22"/>
      <c r="J4" s="22">
        <v>200</v>
      </c>
      <c r="K4" s="22"/>
      <c r="L4" s="22"/>
      <c r="M4" s="22"/>
      <c r="N4" s="22">
        <v>150</v>
      </c>
      <c r="O4" s="22"/>
      <c r="P4" s="22"/>
      <c r="Q4" s="22"/>
    </row>
    <row r="5" spans="1:27" x14ac:dyDescent="0.2">
      <c r="A5" s="3" t="s">
        <v>7</v>
      </c>
      <c r="B5" s="22">
        <v>3300</v>
      </c>
      <c r="C5" s="22"/>
      <c r="D5" s="22"/>
      <c r="E5" s="22"/>
      <c r="F5" s="22">
        <v>1675</v>
      </c>
      <c r="G5" s="22"/>
      <c r="H5" s="22"/>
      <c r="I5" s="22"/>
      <c r="J5" s="22">
        <v>400</v>
      </c>
      <c r="K5" s="22"/>
      <c r="L5" s="22"/>
      <c r="M5" s="124"/>
      <c r="N5" s="22">
        <v>550</v>
      </c>
      <c r="O5" s="22"/>
      <c r="P5" s="22"/>
      <c r="Q5" s="124"/>
    </row>
    <row r="6" spans="1:27" x14ac:dyDescent="0.2">
      <c r="A6" s="3" t="s">
        <v>8</v>
      </c>
      <c r="B6" s="22">
        <v>3550</v>
      </c>
      <c r="C6" s="22"/>
      <c r="D6" s="22"/>
      <c r="E6" s="22"/>
      <c r="F6" s="22">
        <v>1750</v>
      </c>
      <c r="G6" s="22"/>
      <c r="H6" s="22"/>
      <c r="I6" s="22"/>
      <c r="J6" s="22">
        <v>450</v>
      </c>
      <c r="K6" s="22"/>
      <c r="L6" s="22"/>
      <c r="M6" s="124"/>
      <c r="N6" s="22">
        <v>400</v>
      </c>
      <c r="O6" s="22"/>
      <c r="P6" s="22"/>
      <c r="Q6" s="124"/>
    </row>
    <row r="7" spans="1:27" x14ac:dyDescent="0.2">
      <c r="A7" s="3" t="s">
        <v>16</v>
      </c>
      <c r="B7" s="22">
        <v>3700</v>
      </c>
      <c r="C7" s="22"/>
      <c r="D7" s="22"/>
      <c r="E7" s="22"/>
      <c r="F7" s="22">
        <v>1910</v>
      </c>
      <c r="G7" s="22"/>
      <c r="H7" s="22"/>
      <c r="I7" s="22"/>
      <c r="J7" s="22">
        <v>450</v>
      </c>
      <c r="K7" s="22"/>
      <c r="L7" s="22"/>
      <c r="M7" s="22"/>
      <c r="N7" s="22">
        <v>200</v>
      </c>
      <c r="O7" s="22"/>
      <c r="P7" s="22"/>
      <c r="Q7" s="22"/>
    </row>
    <row r="8" spans="1:27" x14ac:dyDescent="0.2">
      <c r="A8" s="3" t="s">
        <v>17</v>
      </c>
      <c r="B8" s="22">
        <v>3230</v>
      </c>
      <c r="C8" s="22"/>
      <c r="D8" s="22"/>
      <c r="E8" s="22"/>
      <c r="F8" s="22">
        <v>1560</v>
      </c>
      <c r="G8" s="22"/>
      <c r="H8" s="22"/>
      <c r="I8" s="22"/>
      <c r="J8" s="22">
        <v>250</v>
      </c>
      <c r="K8" s="22"/>
      <c r="L8" s="22"/>
      <c r="M8" s="22"/>
      <c r="N8" s="22">
        <v>200</v>
      </c>
      <c r="O8" s="22"/>
      <c r="P8" s="22"/>
      <c r="Q8" s="22"/>
    </row>
    <row r="9" spans="1:27" x14ac:dyDescent="0.2">
      <c r="A9" s="3" t="s">
        <v>18</v>
      </c>
      <c r="B9" s="22">
        <v>2990</v>
      </c>
      <c r="C9" s="104"/>
      <c r="D9" s="22"/>
      <c r="E9" s="22"/>
      <c r="F9" s="22">
        <v>1460</v>
      </c>
      <c r="G9" s="22"/>
      <c r="H9" s="22"/>
      <c r="I9" s="22"/>
      <c r="J9" s="22">
        <v>300</v>
      </c>
      <c r="K9" s="22"/>
      <c r="L9" s="22"/>
      <c r="M9" s="22"/>
      <c r="N9" s="22">
        <v>100</v>
      </c>
      <c r="O9" s="22"/>
      <c r="P9" s="22"/>
      <c r="Q9" s="22"/>
    </row>
    <row r="10" spans="1:27" x14ac:dyDescent="0.2">
      <c r="A10" s="2" t="s">
        <v>19</v>
      </c>
      <c r="B10" s="22">
        <v>3100</v>
      </c>
      <c r="C10" s="22"/>
      <c r="D10" s="104"/>
      <c r="E10" s="104"/>
      <c r="F10" s="22">
        <v>1100</v>
      </c>
      <c r="G10" s="104"/>
      <c r="H10" s="104"/>
      <c r="I10" s="104"/>
      <c r="J10" s="22">
        <v>8000</v>
      </c>
      <c r="K10" s="104"/>
      <c r="L10" s="104"/>
      <c r="M10" s="104"/>
      <c r="N10" s="22">
        <v>150</v>
      </c>
      <c r="O10" s="104"/>
      <c r="P10" s="104"/>
      <c r="Q10" s="104"/>
    </row>
    <row r="11" spans="1:27" x14ac:dyDescent="0.2">
      <c r="A11" s="3" t="s">
        <v>10</v>
      </c>
      <c r="B11" s="22">
        <v>2100</v>
      </c>
      <c r="C11" s="22"/>
      <c r="D11" s="22"/>
      <c r="E11" s="22"/>
      <c r="F11" s="22">
        <v>1250</v>
      </c>
      <c r="G11" s="22"/>
      <c r="H11" s="22"/>
      <c r="I11" s="22"/>
      <c r="J11" s="22">
        <v>5141</v>
      </c>
      <c r="K11" s="22"/>
      <c r="L11" s="22"/>
      <c r="M11" s="22"/>
      <c r="N11" s="22">
        <v>200</v>
      </c>
      <c r="O11" s="22"/>
      <c r="P11" s="22"/>
      <c r="Q11" s="22"/>
    </row>
    <row r="12" spans="1:27" x14ac:dyDescent="0.2">
      <c r="A12" s="3" t="s">
        <v>11</v>
      </c>
      <c r="B12" s="22">
        <v>2150</v>
      </c>
      <c r="C12" s="22"/>
      <c r="D12" s="22"/>
      <c r="E12" s="22"/>
      <c r="F12" s="22">
        <v>1640</v>
      </c>
      <c r="G12" s="22"/>
      <c r="H12" s="22"/>
      <c r="I12" s="22"/>
      <c r="J12" s="22"/>
      <c r="K12" s="22"/>
      <c r="L12" s="22"/>
      <c r="M12" s="22"/>
      <c r="N12" s="22">
        <v>250</v>
      </c>
      <c r="O12" s="22"/>
      <c r="P12" s="22"/>
      <c r="Q12" s="22"/>
    </row>
    <row r="13" spans="1:27" x14ac:dyDescent="0.2">
      <c r="A13" s="3" t="s">
        <v>12</v>
      </c>
      <c r="B13" s="22">
        <v>3350</v>
      </c>
      <c r="C13" s="22"/>
      <c r="D13" s="22"/>
      <c r="E13" s="22"/>
      <c r="F13" s="22">
        <v>1885</v>
      </c>
      <c r="G13" s="22"/>
      <c r="H13" s="22"/>
      <c r="I13" s="22"/>
      <c r="J13" s="22"/>
      <c r="K13" s="22"/>
      <c r="L13" s="22"/>
      <c r="M13" s="22"/>
      <c r="N13" s="22">
        <v>450</v>
      </c>
      <c r="O13" s="22"/>
      <c r="P13" s="22"/>
      <c r="Q13" s="22"/>
    </row>
    <row r="14" spans="1:27" x14ac:dyDescent="0.2">
      <c r="A14" s="3" t="s">
        <v>13</v>
      </c>
      <c r="B14" s="22">
        <v>3450</v>
      </c>
      <c r="C14" s="22"/>
      <c r="D14" s="22"/>
      <c r="E14" s="22"/>
      <c r="F14" s="22">
        <v>1890</v>
      </c>
      <c r="G14" s="22"/>
      <c r="H14" s="22"/>
      <c r="I14" s="22"/>
      <c r="J14" s="22"/>
      <c r="K14" s="22"/>
      <c r="L14" s="22"/>
      <c r="M14" s="22"/>
      <c r="N14" s="22">
        <v>450</v>
      </c>
      <c r="O14" s="22"/>
      <c r="P14" s="22"/>
      <c r="Q14" s="22"/>
    </row>
    <row r="15" spans="1:27" x14ac:dyDescent="0.2">
      <c r="A15" s="3" t="s">
        <v>14</v>
      </c>
      <c r="B15" s="22">
        <v>3400</v>
      </c>
      <c r="C15" s="22"/>
      <c r="D15" s="22"/>
      <c r="E15" s="22"/>
      <c r="F15" s="22">
        <v>1750</v>
      </c>
      <c r="G15" s="22"/>
      <c r="H15" s="22"/>
      <c r="I15" s="22"/>
      <c r="J15" s="22"/>
      <c r="K15" s="22"/>
      <c r="L15" s="22"/>
      <c r="M15" s="22"/>
      <c r="N15" s="22">
        <v>450</v>
      </c>
      <c r="O15" s="22"/>
      <c r="P15" s="22"/>
      <c r="Q15" s="22"/>
    </row>
    <row r="16" spans="1:27" x14ac:dyDescent="0.2">
      <c r="A16" s="13" t="s">
        <v>6</v>
      </c>
      <c r="B16" s="23">
        <f t="shared" ref="B16:M16" si="0">SUM(B4:B15)</f>
        <v>36800</v>
      </c>
      <c r="C16" s="23">
        <f t="shared" si="0"/>
        <v>0</v>
      </c>
      <c r="D16" s="23">
        <f t="shared" si="0"/>
        <v>0</v>
      </c>
      <c r="E16" s="23">
        <f t="shared" si="0"/>
        <v>0</v>
      </c>
      <c r="F16" s="23">
        <f t="shared" si="0"/>
        <v>18705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15191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>
        <f>SUM(N4:N15)</f>
        <v>3550</v>
      </c>
      <c r="O16" s="23">
        <f>SUM(O4:O15)</f>
        <v>0</v>
      </c>
      <c r="P16" s="23">
        <f>SUM(P4:P15)</f>
        <v>0</v>
      </c>
      <c r="Q16" s="23">
        <f>SUM(Q4:Q15)</f>
        <v>0</v>
      </c>
    </row>
    <row r="17" spans="1:17" x14ac:dyDescent="0.2">
      <c r="A17" s="28" t="s">
        <v>28</v>
      </c>
      <c r="B17" s="30">
        <f t="shared" ref="B17:M17" si="1">B4+B5</f>
        <v>5780</v>
      </c>
      <c r="C17" s="30">
        <f t="shared" si="1"/>
        <v>0</v>
      </c>
      <c r="D17" s="30">
        <f t="shared" si="1"/>
        <v>0</v>
      </c>
      <c r="E17" s="30">
        <f t="shared" si="1"/>
        <v>0</v>
      </c>
      <c r="F17" s="30">
        <f t="shared" si="1"/>
        <v>2510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600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>N4+N5</f>
        <v>700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9</v>
      </c>
      <c r="B18" s="30">
        <f t="shared" ref="B18:B27" si="2">B17+B6</f>
        <v>9330</v>
      </c>
      <c r="C18" s="30">
        <f t="shared" ref="C18:C27" si="3">C17+C6</f>
        <v>0</v>
      </c>
      <c r="D18" s="30">
        <f t="shared" ref="D18:E27" si="4">D17+D6</f>
        <v>0</v>
      </c>
      <c r="E18" s="30">
        <f t="shared" si="4"/>
        <v>0</v>
      </c>
      <c r="F18" s="30">
        <f t="shared" ref="F18:F27" si="5">F17+F6</f>
        <v>4260</v>
      </c>
      <c r="G18" s="30">
        <f t="shared" ref="G18:G27" si="6">G17+G6</f>
        <v>0</v>
      </c>
      <c r="H18" s="30">
        <f t="shared" ref="H18:H27" si="7">H17+H6</f>
        <v>0</v>
      </c>
      <c r="I18" s="30">
        <f t="shared" ref="I18:I27" si="8">I17+I6</f>
        <v>0</v>
      </c>
      <c r="J18" s="30">
        <f t="shared" ref="J18:J27" si="9">J17+J6</f>
        <v>1050</v>
      </c>
      <c r="K18" s="30">
        <f t="shared" ref="K18:K27" si="10">K17+K6</f>
        <v>0</v>
      </c>
      <c r="L18" s="30">
        <f t="shared" ref="L18:L27" si="11">L17+L6</f>
        <v>0</v>
      </c>
      <c r="M18" s="30">
        <f t="shared" ref="M18:M27" si="12">M17+M6</f>
        <v>0</v>
      </c>
      <c r="N18" s="30">
        <f t="shared" ref="N18:N27" si="13">N17+N6</f>
        <v>1100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</row>
    <row r="19" spans="1:17" x14ac:dyDescent="0.2">
      <c r="A19" s="28" t="s">
        <v>29</v>
      </c>
      <c r="B19" s="30">
        <f t="shared" si="2"/>
        <v>13030</v>
      </c>
      <c r="C19" s="30">
        <f t="shared" si="3"/>
        <v>0</v>
      </c>
      <c r="D19" s="30">
        <f t="shared" si="4"/>
        <v>0</v>
      </c>
      <c r="E19" s="30">
        <f t="shared" si="4"/>
        <v>0</v>
      </c>
      <c r="F19" s="30">
        <f t="shared" si="5"/>
        <v>6170</v>
      </c>
      <c r="G19" s="30">
        <f t="shared" si="6"/>
        <v>0</v>
      </c>
      <c r="H19" s="30">
        <f t="shared" si="7"/>
        <v>0</v>
      </c>
      <c r="I19" s="30">
        <f t="shared" si="8"/>
        <v>0</v>
      </c>
      <c r="J19" s="30">
        <f t="shared" si="9"/>
        <v>1500</v>
      </c>
      <c r="K19" s="30">
        <f t="shared" si="10"/>
        <v>0</v>
      </c>
      <c r="L19" s="30">
        <f t="shared" si="11"/>
        <v>0</v>
      </c>
      <c r="M19" s="30">
        <f t="shared" si="12"/>
        <v>0</v>
      </c>
      <c r="N19" s="30">
        <f t="shared" si="13"/>
        <v>1300</v>
      </c>
      <c r="O19" s="30">
        <f t="shared" si="14"/>
        <v>0</v>
      </c>
      <c r="P19" s="30">
        <f t="shared" si="15"/>
        <v>0</v>
      </c>
      <c r="Q19" s="30">
        <f t="shared" si="16"/>
        <v>0</v>
      </c>
    </row>
    <row r="20" spans="1:17" x14ac:dyDescent="0.2">
      <c r="A20" s="28" t="s">
        <v>30</v>
      </c>
      <c r="B20" s="30">
        <f t="shared" si="2"/>
        <v>16260</v>
      </c>
      <c r="C20" s="30">
        <f t="shared" si="3"/>
        <v>0</v>
      </c>
      <c r="D20" s="30">
        <f t="shared" si="4"/>
        <v>0</v>
      </c>
      <c r="E20" s="30">
        <f t="shared" si="4"/>
        <v>0</v>
      </c>
      <c r="F20" s="30">
        <f t="shared" si="5"/>
        <v>7730</v>
      </c>
      <c r="G20" s="30">
        <f t="shared" si="6"/>
        <v>0</v>
      </c>
      <c r="H20" s="30">
        <f t="shared" si="7"/>
        <v>0</v>
      </c>
      <c r="I20" s="30">
        <f t="shared" si="8"/>
        <v>0</v>
      </c>
      <c r="J20" s="30">
        <f t="shared" si="9"/>
        <v>1750</v>
      </c>
      <c r="K20" s="30">
        <f t="shared" si="10"/>
        <v>0</v>
      </c>
      <c r="L20" s="30">
        <f t="shared" si="11"/>
        <v>0</v>
      </c>
      <c r="M20" s="30">
        <f t="shared" si="12"/>
        <v>0</v>
      </c>
      <c r="N20" s="30">
        <f t="shared" si="13"/>
        <v>1500</v>
      </c>
      <c r="O20" s="30">
        <f t="shared" si="14"/>
        <v>0</v>
      </c>
      <c r="P20" s="30">
        <f t="shared" si="15"/>
        <v>0</v>
      </c>
      <c r="Q20" s="30">
        <f t="shared" si="16"/>
        <v>0</v>
      </c>
    </row>
    <row r="21" spans="1:17" x14ac:dyDescent="0.2">
      <c r="A21" s="28" t="s">
        <v>31</v>
      </c>
      <c r="B21" s="30">
        <f t="shared" si="2"/>
        <v>19250</v>
      </c>
      <c r="C21" s="30">
        <f t="shared" si="3"/>
        <v>0</v>
      </c>
      <c r="D21" s="30">
        <f t="shared" si="4"/>
        <v>0</v>
      </c>
      <c r="E21" s="30">
        <f t="shared" si="4"/>
        <v>0</v>
      </c>
      <c r="F21" s="30">
        <f t="shared" si="5"/>
        <v>9190</v>
      </c>
      <c r="G21" s="30">
        <f t="shared" si="6"/>
        <v>0</v>
      </c>
      <c r="H21" s="30">
        <f t="shared" si="7"/>
        <v>0</v>
      </c>
      <c r="I21" s="30">
        <f t="shared" si="8"/>
        <v>0</v>
      </c>
      <c r="J21" s="30">
        <f t="shared" si="9"/>
        <v>2050</v>
      </c>
      <c r="K21" s="30">
        <f t="shared" si="10"/>
        <v>0</v>
      </c>
      <c r="L21" s="30">
        <f t="shared" si="11"/>
        <v>0</v>
      </c>
      <c r="M21" s="30">
        <f t="shared" si="12"/>
        <v>0</v>
      </c>
      <c r="N21" s="30">
        <f t="shared" si="13"/>
        <v>1600</v>
      </c>
      <c r="O21" s="30">
        <f t="shared" si="14"/>
        <v>0</v>
      </c>
      <c r="P21" s="30">
        <f t="shared" si="15"/>
        <v>0</v>
      </c>
      <c r="Q21" s="30">
        <f t="shared" si="16"/>
        <v>0</v>
      </c>
    </row>
    <row r="22" spans="1:17" x14ac:dyDescent="0.2">
      <c r="A22" s="28" t="s">
        <v>32</v>
      </c>
      <c r="B22" s="30">
        <f t="shared" si="2"/>
        <v>22350</v>
      </c>
      <c r="C22" s="30">
        <f t="shared" si="3"/>
        <v>0</v>
      </c>
      <c r="D22" s="30">
        <f t="shared" si="4"/>
        <v>0</v>
      </c>
      <c r="E22" s="30">
        <f t="shared" si="4"/>
        <v>0</v>
      </c>
      <c r="F22" s="30">
        <f t="shared" si="5"/>
        <v>10290</v>
      </c>
      <c r="G22" s="30">
        <f t="shared" si="6"/>
        <v>0</v>
      </c>
      <c r="H22" s="30">
        <f t="shared" si="7"/>
        <v>0</v>
      </c>
      <c r="I22" s="30">
        <f t="shared" si="8"/>
        <v>0</v>
      </c>
      <c r="J22" s="30">
        <f t="shared" si="9"/>
        <v>10050</v>
      </c>
      <c r="K22" s="30">
        <f t="shared" si="10"/>
        <v>0</v>
      </c>
      <c r="L22" s="30">
        <f t="shared" si="11"/>
        <v>0</v>
      </c>
      <c r="M22" s="30">
        <f t="shared" si="12"/>
        <v>0</v>
      </c>
      <c r="N22" s="30">
        <f t="shared" si="13"/>
        <v>1750</v>
      </c>
      <c r="O22" s="30">
        <f t="shared" si="14"/>
        <v>0</v>
      </c>
      <c r="P22" s="30">
        <f t="shared" si="15"/>
        <v>0</v>
      </c>
      <c r="Q22" s="30">
        <f t="shared" si="16"/>
        <v>0</v>
      </c>
    </row>
    <row r="23" spans="1:17" x14ac:dyDescent="0.2">
      <c r="A23" s="28" t="s">
        <v>33</v>
      </c>
      <c r="B23" s="30">
        <f t="shared" si="2"/>
        <v>24450</v>
      </c>
      <c r="C23" s="30">
        <f t="shared" si="3"/>
        <v>0</v>
      </c>
      <c r="D23" s="30">
        <f t="shared" si="4"/>
        <v>0</v>
      </c>
      <c r="E23" s="30">
        <f t="shared" si="4"/>
        <v>0</v>
      </c>
      <c r="F23" s="30">
        <f t="shared" si="5"/>
        <v>11540</v>
      </c>
      <c r="G23" s="30">
        <f t="shared" si="6"/>
        <v>0</v>
      </c>
      <c r="H23" s="30">
        <f t="shared" si="7"/>
        <v>0</v>
      </c>
      <c r="I23" s="30">
        <f t="shared" si="8"/>
        <v>0</v>
      </c>
      <c r="J23" s="30">
        <f t="shared" si="9"/>
        <v>15191</v>
      </c>
      <c r="K23" s="30">
        <f t="shared" si="10"/>
        <v>0</v>
      </c>
      <c r="L23" s="30">
        <f t="shared" si="11"/>
        <v>0</v>
      </c>
      <c r="M23" s="30">
        <f t="shared" si="12"/>
        <v>0</v>
      </c>
      <c r="N23" s="30">
        <f t="shared" si="13"/>
        <v>1950</v>
      </c>
      <c r="O23" s="30">
        <f t="shared" si="14"/>
        <v>0</v>
      </c>
      <c r="P23" s="30">
        <f t="shared" si="15"/>
        <v>0</v>
      </c>
      <c r="Q23" s="30">
        <f t="shared" si="16"/>
        <v>0</v>
      </c>
    </row>
    <row r="24" spans="1:17" x14ac:dyDescent="0.2">
      <c r="A24" s="29" t="s">
        <v>34</v>
      </c>
      <c r="B24" s="31">
        <f t="shared" si="2"/>
        <v>26600</v>
      </c>
      <c r="C24" s="31">
        <f t="shared" si="3"/>
        <v>0</v>
      </c>
      <c r="D24" s="31">
        <f t="shared" si="4"/>
        <v>0</v>
      </c>
      <c r="E24" s="31">
        <f t="shared" si="4"/>
        <v>0</v>
      </c>
      <c r="F24" s="31">
        <f t="shared" si="5"/>
        <v>13180</v>
      </c>
      <c r="G24" s="31">
        <f t="shared" si="6"/>
        <v>0</v>
      </c>
      <c r="H24" s="31">
        <f t="shared" si="7"/>
        <v>0</v>
      </c>
      <c r="I24" s="31">
        <f t="shared" si="8"/>
        <v>0</v>
      </c>
      <c r="J24" s="31">
        <f t="shared" si="9"/>
        <v>15191</v>
      </c>
      <c r="K24" s="31">
        <f t="shared" si="10"/>
        <v>0</v>
      </c>
      <c r="L24" s="31">
        <f t="shared" si="11"/>
        <v>0</v>
      </c>
      <c r="M24" s="31">
        <f t="shared" si="12"/>
        <v>0</v>
      </c>
      <c r="N24" s="31">
        <f t="shared" si="13"/>
        <v>2200</v>
      </c>
      <c r="O24" s="31">
        <f t="shared" si="14"/>
        <v>0</v>
      </c>
      <c r="P24" s="31">
        <f t="shared" si="15"/>
        <v>0</v>
      </c>
      <c r="Q24" s="31">
        <f t="shared" si="16"/>
        <v>0</v>
      </c>
    </row>
    <row r="25" spans="1:17" x14ac:dyDescent="0.2">
      <c r="A25" s="29" t="s">
        <v>35</v>
      </c>
      <c r="B25" s="31">
        <f t="shared" si="2"/>
        <v>29950</v>
      </c>
      <c r="C25" s="31">
        <f t="shared" si="3"/>
        <v>0</v>
      </c>
      <c r="D25" s="31">
        <f t="shared" si="4"/>
        <v>0</v>
      </c>
      <c r="E25" s="31">
        <f t="shared" si="4"/>
        <v>0</v>
      </c>
      <c r="F25" s="31">
        <f t="shared" si="5"/>
        <v>15065</v>
      </c>
      <c r="G25" s="31">
        <f t="shared" si="6"/>
        <v>0</v>
      </c>
      <c r="H25" s="31">
        <f t="shared" si="7"/>
        <v>0</v>
      </c>
      <c r="I25" s="31">
        <f t="shared" si="8"/>
        <v>0</v>
      </c>
      <c r="J25" s="31">
        <f t="shared" si="9"/>
        <v>15191</v>
      </c>
      <c r="K25" s="31">
        <f t="shared" si="10"/>
        <v>0</v>
      </c>
      <c r="L25" s="31">
        <f t="shared" si="11"/>
        <v>0</v>
      </c>
      <c r="M25" s="31">
        <f t="shared" si="12"/>
        <v>0</v>
      </c>
      <c r="N25" s="31">
        <f t="shared" si="13"/>
        <v>2650</v>
      </c>
      <c r="O25" s="31">
        <f t="shared" si="14"/>
        <v>0</v>
      </c>
      <c r="P25" s="31">
        <f t="shared" si="15"/>
        <v>0</v>
      </c>
      <c r="Q25" s="31">
        <f t="shared" si="16"/>
        <v>0</v>
      </c>
    </row>
    <row r="26" spans="1:17" x14ac:dyDescent="0.2">
      <c r="A26" s="29" t="s">
        <v>36</v>
      </c>
      <c r="B26" s="31">
        <f t="shared" si="2"/>
        <v>33400</v>
      </c>
      <c r="C26" s="31">
        <f t="shared" si="3"/>
        <v>0</v>
      </c>
      <c r="D26" s="31">
        <f t="shared" si="4"/>
        <v>0</v>
      </c>
      <c r="E26" s="31">
        <f t="shared" si="4"/>
        <v>0</v>
      </c>
      <c r="F26" s="31">
        <f t="shared" si="5"/>
        <v>16955</v>
      </c>
      <c r="G26" s="31">
        <f t="shared" si="6"/>
        <v>0</v>
      </c>
      <c r="H26" s="31">
        <f t="shared" si="7"/>
        <v>0</v>
      </c>
      <c r="I26" s="31">
        <f t="shared" si="8"/>
        <v>0</v>
      </c>
      <c r="J26" s="31">
        <f t="shared" si="9"/>
        <v>15191</v>
      </c>
      <c r="K26" s="31">
        <f t="shared" si="10"/>
        <v>0</v>
      </c>
      <c r="L26" s="31">
        <f t="shared" si="11"/>
        <v>0</v>
      </c>
      <c r="M26" s="31">
        <f t="shared" si="12"/>
        <v>0</v>
      </c>
      <c r="N26" s="31">
        <f t="shared" si="13"/>
        <v>3100</v>
      </c>
      <c r="O26" s="31">
        <f t="shared" si="14"/>
        <v>0</v>
      </c>
      <c r="P26" s="31">
        <f t="shared" si="15"/>
        <v>0</v>
      </c>
      <c r="Q26" s="31">
        <f t="shared" si="16"/>
        <v>0</v>
      </c>
    </row>
    <row r="27" spans="1:17" x14ac:dyDescent="0.2">
      <c r="A27" s="12" t="s">
        <v>15</v>
      </c>
      <c r="B27" s="32">
        <f t="shared" si="2"/>
        <v>36800</v>
      </c>
      <c r="C27" s="32">
        <f t="shared" si="3"/>
        <v>0</v>
      </c>
      <c r="D27" s="32">
        <f t="shared" si="4"/>
        <v>0</v>
      </c>
      <c r="E27" s="32">
        <f t="shared" si="4"/>
        <v>0</v>
      </c>
      <c r="F27" s="32">
        <f t="shared" si="5"/>
        <v>18705</v>
      </c>
      <c r="G27" s="32">
        <f t="shared" si="6"/>
        <v>0</v>
      </c>
      <c r="H27" s="32">
        <f t="shared" si="7"/>
        <v>0</v>
      </c>
      <c r="I27" s="32">
        <f t="shared" si="8"/>
        <v>0</v>
      </c>
      <c r="J27" s="32">
        <f t="shared" si="9"/>
        <v>15191</v>
      </c>
      <c r="K27" s="32">
        <f t="shared" si="10"/>
        <v>0</v>
      </c>
      <c r="L27" s="32">
        <f t="shared" si="11"/>
        <v>0</v>
      </c>
      <c r="M27" s="32">
        <f t="shared" si="12"/>
        <v>0</v>
      </c>
      <c r="N27" s="32">
        <f t="shared" si="13"/>
        <v>3550</v>
      </c>
      <c r="O27" s="32">
        <f t="shared" si="14"/>
        <v>0</v>
      </c>
      <c r="P27" s="32">
        <f t="shared" si="15"/>
        <v>0</v>
      </c>
      <c r="Q27" s="32">
        <f t="shared" si="16"/>
        <v>0</v>
      </c>
    </row>
  </sheetData>
  <mergeCells count="8">
    <mergeCell ref="N1:P1"/>
    <mergeCell ref="O2:Q2"/>
    <mergeCell ref="J1:L1"/>
    <mergeCell ref="B1:D1"/>
    <mergeCell ref="F1:H1"/>
    <mergeCell ref="C2:E2"/>
    <mergeCell ref="G2:I2"/>
    <mergeCell ref="K2:M2"/>
  </mergeCells>
  <phoneticPr fontId="0" type="noConversion"/>
  <pageMargins left="0.75" right="0.75" top="1" bottom="1" header="0.5" footer="0.5"/>
  <pageSetup paperSize="9" scale="3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I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9.5703125" bestFit="1" customWidth="1"/>
    <col min="5" max="5" width="9.5703125" customWidth="1"/>
    <col min="7" max="7" width="11" bestFit="1" customWidth="1"/>
    <col min="8" max="8" width="9" bestFit="1" customWidth="1"/>
    <col min="9" max="9" width="9" customWidth="1"/>
    <col min="12" max="12" width="9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2305</v>
      </c>
      <c r="C4" s="22"/>
      <c r="D4" s="22"/>
      <c r="E4" s="22"/>
      <c r="F4" s="22">
        <v>958</v>
      </c>
      <c r="G4" s="22"/>
      <c r="H4" s="22"/>
      <c r="I4" s="125"/>
      <c r="J4" s="22">
        <v>2862</v>
      </c>
      <c r="K4" s="22"/>
      <c r="L4" s="22"/>
      <c r="M4" s="22"/>
      <c r="N4" s="22">
        <v>3186</v>
      </c>
      <c r="O4" s="22"/>
      <c r="P4" s="22"/>
      <c r="Q4" s="22"/>
      <c r="R4" s="22">
        <v>492</v>
      </c>
      <c r="S4" s="22"/>
      <c r="T4" s="22"/>
      <c r="U4" s="22"/>
      <c r="V4" s="22">
        <v>520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2465</v>
      </c>
      <c r="C5" s="22"/>
      <c r="D5" s="22"/>
      <c r="E5" s="22"/>
      <c r="F5" s="22">
        <v>1008</v>
      </c>
      <c r="G5" s="22"/>
      <c r="H5" s="22"/>
      <c r="I5" s="125"/>
      <c r="J5" s="22">
        <v>3073</v>
      </c>
      <c r="K5" s="22"/>
      <c r="L5" s="22"/>
      <c r="M5" s="22"/>
      <c r="N5" s="22">
        <v>3741</v>
      </c>
      <c r="O5" s="22"/>
      <c r="P5" s="22"/>
      <c r="Q5" s="22"/>
      <c r="R5" s="22">
        <v>492</v>
      </c>
      <c r="S5" s="22"/>
      <c r="T5" s="22"/>
      <c r="U5" s="22"/>
      <c r="V5" s="22">
        <v>490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2534</v>
      </c>
      <c r="C6" s="22"/>
      <c r="D6" s="22"/>
      <c r="E6" s="22"/>
      <c r="F6" s="22">
        <v>1038</v>
      </c>
      <c r="G6" s="22"/>
      <c r="H6" s="22"/>
      <c r="I6" s="125"/>
      <c r="J6" s="22">
        <v>3000</v>
      </c>
      <c r="K6" s="22"/>
      <c r="L6" s="22"/>
      <c r="M6" s="22"/>
      <c r="N6" s="22">
        <v>3799</v>
      </c>
      <c r="O6" s="22"/>
      <c r="P6" s="22"/>
      <c r="Q6" s="22"/>
      <c r="R6" s="22">
        <v>492</v>
      </c>
      <c r="S6" s="22"/>
      <c r="T6" s="22"/>
      <c r="U6" s="22"/>
      <c r="V6" s="22">
        <v>530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2440</v>
      </c>
      <c r="C7" s="22"/>
      <c r="D7" s="22"/>
      <c r="E7" s="22"/>
      <c r="F7" s="22">
        <v>1018</v>
      </c>
      <c r="G7" s="22"/>
      <c r="H7" s="22"/>
      <c r="I7" s="125"/>
      <c r="J7" s="22">
        <v>2865</v>
      </c>
      <c r="K7" s="22"/>
      <c r="L7" s="22"/>
      <c r="M7" s="22"/>
      <c r="N7" s="22">
        <v>3648</v>
      </c>
      <c r="O7" s="22"/>
      <c r="P7" s="22"/>
      <c r="Q7" s="22"/>
      <c r="R7" s="22">
        <v>492</v>
      </c>
      <c r="S7" s="22"/>
      <c r="T7" s="22"/>
      <c r="U7" s="22"/>
      <c r="V7" s="22">
        <v>530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2340</v>
      </c>
      <c r="C8" s="22"/>
      <c r="D8" s="22"/>
      <c r="E8" s="22"/>
      <c r="F8" s="22">
        <v>1018</v>
      </c>
      <c r="G8" s="22"/>
      <c r="H8" s="22"/>
      <c r="I8" s="125"/>
      <c r="J8" s="22">
        <v>2813</v>
      </c>
      <c r="K8" s="22"/>
      <c r="L8" s="22"/>
      <c r="M8" s="22"/>
      <c r="N8" s="22">
        <v>3489</v>
      </c>
      <c r="O8" s="22"/>
      <c r="P8" s="22"/>
      <c r="Q8" s="22"/>
      <c r="R8" s="22">
        <v>491</v>
      </c>
      <c r="S8" s="22"/>
      <c r="T8" s="22"/>
      <c r="U8" s="22"/>
      <c r="V8" s="22">
        <v>440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2310</v>
      </c>
      <c r="C9" s="22"/>
      <c r="D9" s="22"/>
      <c r="E9" s="22"/>
      <c r="F9" s="22">
        <v>940</v>
      </c>
      <c r="G9" s="22"/>
      <c r="H9" s="22"/>
      <c r="I9" s="125"/>
      <c r="J9" s="22">
        <v>2750</v>
      </c>
      <c r="K9" s="22"/>
      <c r="L9" s="22"/>
      <c r="M9" s="22"/>
      <c r="N9" s="22">
        <v>3332</v>
      </c>
      <c r="O9" s="22"/>
      <c r="P9" s="22"/>
      <c r="Q9" s="22"/>
      <c r="R9" s="22">
        <v>492</v>
      </c>
      <c r="S9" s="22"/>
      <c r="T9" s="22"/>
      <c r="U9" s="22"/>
      <c r="V9" s="22">
        <v>440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1961</v>
      </c>
      <c r="C10" s="22"/>
      <c r="D10" s="22"/>
      <c r="E10" s="22"/>
      <c r="F10" s="22">
        <v>558</v>
      </c>
      <c r="G10" s="22"/>
      <c r="H10" s="22"/>
      <c r="I10" s="125"/>
      <c r="J10" s="22">
        <v>3155</v>
      </c>
      <c r="K10" s="22"/>
      <c r="L10" s="22"/>
      <c r="M10" s="22"/>
      <c r="N10" s="22">
        <v>2289</v>
      </c>
      <c r="O10" s="22"/>
      <c r="P10" s="22"/>
      <c r="Q10" s="22"/>
      <c r="R10" s="22">
        <v>53</v>
      </c>
      <c r="S10" s="22"/>
      <c r="T10" s="22"/>
      <c r="U10" s="22"/>
      <c r="V10" s="22">
        <v>370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2336</v>
      </c>
      <c r="C11" s="22"/>
      <c r="D11" s="22"/>
      <c r="E11" s="22"/>
      <c r="F11" s="22">
        <v>990</v>
      </c>
      <c r="G11" s="22"/>
      <c r="H11" s="22"/>
      <c r="I11" s="125"/>
      <c r="J11" s="22">
        <v>2948</v>
      </c>
      <c r="K11" s="22"/>
      <c r="L11" s="22"/>
      <c r="M11" s="22"/>
      <c r="N11" s="22">
        <v>2659</v>
      </c>
      <c r="O11" s="22"/>
      <c r="P11" s="22"/>
      <c r="Q11" s="22"/>
      <c r="R11" s="22">
        <v>53</v>
      </c>
      <c r="S11" s="22"/>
      <c r="T11" s="22"/>
      <c r="U11" s="22"/>
      <c r="V11" s="22">
        <v>450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2418</v>
      </c>
      <c r="C12" s="22"/>
      <c r="D12" s="22"/>
      <c r="E12" s="22"/>
      <c r="F12" s="22">
        <v>938</v>
      </c>
      <c r="G12" s="22"/>
      <c r="H12" s="22"/>
      <c r="I12" s="125"/>
      <c r="J12" s="22">
        <v>3839</v>
      </c>
      <c r="K12" s="22"/>
      <c r="L12" s="22"/>
      <c r="M12" s="22"/>
      <c r="N12" s="22">
        <v>3698</v>
      </c>
      <c r="O12" s="22"/>
      <c r="P12" s="22"/>
      <c r="Q12" s="22"/>
      <c r="R12" s="22">
        <v>53</v>
      </c>
      <c r="S12" s="22"/>
      <c r="T12" s="22"/>
      <c r="U12" s="22"/>
      <c r="V12" s="22">
        <v>450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2435</v>
      </c>
      <c r="C13" s="22"/>
      <c r="D13" s="22"/>
      <c r="E13" s="22"/>
      <c r="F13" s="22">
        <v>998</v>
      </c>
      <c r="G13" s="22"/>
      <c r="H13" s="22"/>
      <c r="I13" s="125"/>
      <c r="J13" s="22">
        <v>4005</v>
      </c>
      <c r="K13" s="22"/>
      <c r="L13" s="22"/>
      <c r="M13" s="22"/>
      <c r="N13" s="22">
        <v>3749</v>
      </c>
      <c r="O13" s="22"/>
      <c r="P13" s="22"/>
      <c r="Q13" s="22"/>
      <c r="R13" s="22">
        <v>53</v>
      </c>
      <c r="S13" s="22"/>
      <c r="T13" s="22"/>
      <c r="U13" s="22"/>
      <c r="V13" s="22">
        <v>500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2440</v>
      </c>
      <c r="C14" s="22"/>
      <c r="D14" s="22"/>
      <c r="E14" s="22"/>
      <c r="F14" s="22">
        <v>1028</v>
      </c>
      <c r="G14" s="22"/>
      <c r="H14" s="22"/>
      <c r="I14" s="125"/>
      <c r="J14" s="22">
        <v>4129</v>
      </c>
      <c r="K14" s="22"/>
      <c r="L14" s="22"/>
      <c r="M14" s="22"/>
      <c r="N14" s="22">
        <v>3816</v>
      </c>
      <c r="O14" s="22"/>
      <c r="P14" s="22"/>
      <c r="Q14" s="22"/>
      <c r="R14" s="22">
        <v>53</v>
      </c>
      <c r="S14" s="22"/>
      <c r="T14" s="22"/>
      <c r="U14" s="22"/>
      <c r="V14" s="22">
        <v>530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2490</v>
      </c>
      <c r="C15" s="22"/>
      <c r="D15" s="22"/>
      <c r="E15" s="22"/>
      <c r="F15" s="22">
        <v>1008</v>
      </c>
      <c r="G15" s="22"/>
      <c r="H15" s="22"/>
      <c r="I15" s="125"/>
      <c r="J15" s="22">
        <v>3832</v>
      </c>
      <c r="K15" s="22"/>
      <c r="L15" s="22"/>
      <c r="M15" s="22"/>
      <c r="N15" s="22">
        <v>3759</v>
      </c>
      <c r="O15" s="22"/>
      <c r="P15" s="22"/>
      <c r="Q15" s="22"/>
      <c r="R15" s="22">
        <v>57</v>
      </c>
      <c r="S15" s="22"/>
      <c r="T15" s="22"/>
      <c r="U15" s="22"/>
      <c r="V15" s="22">
        <v>559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28474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11500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39271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41165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3273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5809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4770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1966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5935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6927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984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1010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7304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3004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8935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10726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1476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1540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9744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4022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11800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14374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1968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2070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12084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5040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14613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17863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2459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2510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14394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5980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17363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21195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2951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2950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16355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6538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20518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23484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3004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3320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18691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7528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23466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26143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3057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3770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21109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8466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27305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29841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3110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4220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8" t="s">
        <v>35</v>
      </c>
      <c r="B25" s="30">
        <f t="shared" si="2"/>
        <v>23544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9464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31310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33590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3163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4720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8" t="s">
        <v>36</v>
      </c>
      <c r="B26" s="30">
        <f t="shared" si="2"/>
        <v>25984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10492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35439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37406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3216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5250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28474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11500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39271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41165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3273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5809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C2:E2"/>
    <mergeCell ref="G2:I2"/>
    <mergeCell ref="B1:D1"/>
    <mergeCell ref="O2:Q2"/>
    <mergeCell ref="S2:U2"/>
    <mergeCell ref="W2:Y2"/>
    <mergeCell ref="AA2:AC2"/>
    <mergeCell ref="K2:M2"/>
    <mergeCell ref="F1:H1"/>
  </mergeCells>
  <phoneticPr fontId="0" type="noConversion"/>
  <pageMargins left="0" right="0" top="0.39370078740157483" bottom="0" header="0" footer="0"/>
  <pageSetup paperSize="9" scale="7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E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9.5703125" bestFit="1" customWidth="1"/>
    <col min="5" max="5" width="9.5703125" customWidth="1"/>
    <col min="7" max="7" width="11" bestFit="1" customWidth="1"/>
    <col min="8" max="8" width="9" bestFit="1" customWidth="1"/>
    <col min="9" max="9" width="9" customWidth="1"/>
    <col min="10" max="10" width="9.5703125" bestFit="1" customWidth="1"/>
    <col min="12" max="12" width="9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638</v>
      </c>
      <c r="C4" s="22"/>
      <c r="D4" s="22"/>
      <c r="E4" s="22"/>
      <c r="F4" s="22">
        <v>501</v>
      </c>
      <c r="G4" s="22"/>
      <c r="H4" s="22"/>
      <c r="I4" s="125"/>
      <c r="J4" s="22"/>
      <c r="K4" s="22"/>
      <c r="L4" s="22"/>
      <c r="M4" s="22"/>
      <c r="N4" s="22">
        <v>2168</v>
      </c>
      <c r="O4" s="22"/>
      <c r="P4" s="22"/>
      <c r="Q4" s="22"/>
      <c r="R4" s="22"/>
      <c r="S4" s="22"/>
      <c r="T4" s="22"/>
      <c r="U4" s="22"/>
      <c r="V4" s="22">
        <v>335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641</v>
      </c>
      <c r="C5" s="22"/>
      <c r="D5" s="22"/>
      <c r="E5" s="22"/>
      <c r="F5" s="22">
        <v>501</v>
      </c>
      <c r="G5" s="22"/>
      <c r="H5" s="22"/>
      <c r="I5" s="125"/>
      <c r="J5" s="22"/>
      <c r="K5" s="22"/>
      <c r="L5" s="22"/>
      <c r="M5" s="22"/>
      <c r="N5" s="22">
        <v>2505</v>
      </c>
      <c r="O5" s="22"/>
      <c r="P5" s="22"/>
      <c r="Q5" s="22"/>
      <c r="R5" s="22"/>
      <c r="S5" s="22"/>
      <c r="T5" s="22"/>
      <c r="U5" s="22"/>
      <c r="V5" s="22">
        <v>335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642</v>
      </c>
      <c r="C6" s="22"/>
      <c r="D6" s="22"/>
      <c r="E6" s="22"/>
      <c r="F6" s="22">
        <v>501</v>
      </c>
      <c r="G6" s="22"/>
      <c r="H6" s="22"/>
      <c r="I6" s="125"/>
      <c r="J6" s="22"/>
      <c r="K6" s="22"/>
      <c r="L6" s="22"/>
      <c r="M6" s="22"/>
      <c r="N6" s="22">
        <v>2827</v>
      </c>
      <c r="O6" s="22"/>
      <c r="P6" s="22"/>
      <c r="Q6" s="22"/>
      <c r="R6" s="22"/>
      <c r="S6" s="22"/>
      <c r="T6" s="22"/>
      <c r="U6" s="22"/>
      <c r="V6" s="22">
        <v>333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629</v>
      </c>
      <c r="C7" s="22"/>
      <c r="D7" s="22"/>
      <c r="E7" s="22"/>
      <c r="F7" s="22">
        <v>499</v>
      </c>
      <c r="G7" s="22"/>
      <c r="H7" s="22"/>
      <c r="I7" s="125"/>
      <c r="J7" s="22"/>
      <c r="K7" s="22"/>
      <c r="L7" s="22"/>
      <c r="M7" s="22"/>
      <c r="N7" s="22">
        <v>2981</v>
      </c>
      <c r="O7" s="22"/>
      <c r="P7" s="22"/>
      <c r="Q7" s="22"/>
      <c r="R7" s="22"/>
      <c r="S7" s="22"/>
      <c r="T7" s="22"/>
      <c r="U7" s="22"/>
      <c r="V7" s="22">
        <v>333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621</v>
      </c>
      <c r="C8" s="22"/>
      <c r="D8" s="22"/>
      <c r="E8" s="22"/>
      <c r="F8" s="22">
        <v>497</v>
      </c>
      <c r="G8" s="22"/>
      <c r="H8" s="22"/>
      <c r="I8" s="125"/>
      <c r="J8" s="22"/>
      <c r="K8" s="22"/>
      <c r="L8" s="22"/>
      <c r="M8" s="22"/>
      <c r="N8" s="22">
        <v>2728</v>
      </c>
      <c r="O8" s="22"/>
      <c r="P8" s="22"/>
      <c r="Q8" s="22"/>
      <c r="R8" s="22"/>
      <c r="S8" s="22"/>
      <c r="T8" s="22"/>
      <c r="U8" s="22"/>
      <c r="V8" s="22">
        <v>330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623</v>
      </c>
      <c r="C9" s="22"/>
      <c r="D9" s="22"/>
      <c r="E9" s="22"/>
      <c r="F9" s="22">
        <v>497</v>
      </c>
      <c r="G9" s="22"/>
      <c r="H9" s="22"/>
      <c r="I9" s="125"/>
      <c r="J9" s="22">
        <v>12936</v>
      </c>
      <c r="K9" s="22"/>
      <c r="L9" s="22"/>
      <c r="M9" s="22"/>
      <c r="N9" s="22">
        <v>2544</v>
      </c>
      <c r="O9" s="22"/>
      <c r="P9" s="22"/>
      <c r="Q9" s="22"/>
      <c r="R9" s="22">
        <v>600</v>
      </c>
      <c r="S9" s="22"/>
      <c r="T9" s="22"/>
      <c r="U9" s="22"/>
      <c r="V9" s="22">
        <v>330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624</v>
      </c>
      <c r="C10" s="22"/>
      <c r="D10" s="22"/>
      <c r="E10" s="22"/>
      <c r="F10" s="22">
        <v>448</v>
      </c>
      <c r="G10" s="22"/>
      <c r="H10" s="22"/>
      <c r="I10" s="125"/>
      <c r="J10" s="22">
        <v>3527</v>
      </c>
      <c r="K10" s="22"/>
      <c r="L10" s="22"/>
      <c r="M10" s="22"/>
      <c r="N10" s="22">
        <v>1839</v>
      </c>
      <c r="O10" s="22"/>
      <c r="P10" s="22"/>
      <c r="Q10" s="22"/>
      <c r="R10" s="22">
        <v>75</v>
      </c>
      <c r="S10" s="22"/>
      <c r="T10" s="22"/>
      <c r="U10" s="22"/>
      <c r="V10" s="22">
        <f>281+52</f>
        <v>333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627</v>
      </c>
      <c r="C11" s="22"/>
      <c r="D11" s="22"/>
      <c r="E11" s="22"/>
      <c r="F11" s="22">
        <v>450</v>
      </c>
      <c r="G11" s="22"/>
      <c r="H11" s="22"/>
      <c r="I11" s="125"/>
      <c r="J11" s="22">
        <v>3363</v>
      </c>
      <c r="K11" s="22"/>
      <c r="L11" s="22"/>
      <c r="M11" s="22"/>
      <c r="N11" s="22">
        <v>1791</v>
      </c>
      <c r="O11" s="22"/>
      <c r="P11" s="22"/>
      <c r="Q11" s="22"/>
      <c r="R11" s="22">
        <v>80</v>
      </c>
      <c r="S11" s="22"/>
      <c r="T11" s="22"/>
      <c r="U11" s="22"/>
      <c r="V11" s="22">
        <f>281+52</f>
        <v>333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633</v>
      </c>
      <c r="C12" s="22"/>
      <c r="D12" s="22"/>
      <c r="E12" s="22"/>
      <c r="F12" s="22">
        <v>451</v>
      </c>
      <c r="G12" s="22"/>
      <c r="H12" s="22"/>
      <c r="I12" s="125"/>
      <c r="J12" s="22">
        <v>3777</v>
      </c>
      <c r="K12" s="22"/>
      <c r="L12" s="22"/>
      <c r="M12" s="22"/>
      <c r="N12" s="22">
        <v>2078</v>
      </c>
      <c r="O12" s="22"/>
      <c r="P12" s="22"/>
      <c r="Q12" s="22"/>
      <c r="R12" s="22">
        <v>100</v>
      </c>
      <c r="S12" s="22"/>
      <c r="T12" s="22"/>
      <c r="U12" s="22"/>
      <c r="V12" s="22">
        <f>281+52</f>
        <v>333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641</v>
      </c>
      <c r="C13" s="22"/>
      <c r="D13" s="22"/>
      <c r="E13" s="22"/>
      <c r="F13" s="22">
        <v>452</v>
      </c>
      <c r="G13" s="22"/>
      <c r="H13" s="22"/>
      <c r="I13" s="125"/>
      <c r="J13" s="22">
        <v>4337</v>
      </c>
      <c r="K13" s="22"/>
      <c r="L13" s="22"/>
      <c r="M13" s="22"/>
      <c r="N13" s="22">
        <v>2180</v>
      </c>
      <c r="O13" s="22"/>
      <c r="P13" s="22"/>
      <c r="Q13" s="22"/>
      <c r="R13" s="22">
        <v>100</v>
      </c>
      <c r="S13" s="22"/>
      <c r="T13" s="22"/>
      <c r="U13" s="22"/>
      <c r="V13" s="22">
        <f>281+52</f>
        <v>333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640</v>
      </c>
      <c r="C14" s="22"/>
      <c r="D14" s="22"/>
      <c r="E14" s="22"/>
      <c r="F14" s="22">
        <v>452</v>
      </c>
      <c r="G14" s="22"/>
      <c r="H14" s="22"/>
      <c r="I14" s="125"/>
      <c r="J14" s="22">
        <v>4561</v>
      </c>
      <c r="K14" s="22"/>
      <c r="L14" s="22"/>
      <c r="M14" s="22"/>
      <c r="N14" s="22">
        <v>2401</v>
      </c>
      <c r="O14" s="22"/>
      <c r="P14" s="22"/>
      <c r="Q14" s="22"/>
      <c r="R14" s="22">
        <v>125</v>
      </c>
      <c r="S14" s="22"/>
      <c r="T14" s="22"/>
      <c r="U14" s="22"/>
      <c r="V14" s="22">
        <f>284+52</f>
        <v>336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641</v>
      </c>
      <c r="C15" s="22"/>
      <c r="D15" s="22"/>
      <c r="E15" s="22"/>
      <c r="F15" s="22">
        <v>451</v>
      </c>
      <c r="G15" s="22"/>
      <c r="H15" s="22"/>
      <c r="I15" s="125"/>
      <c r="J15" s="22">
        <v>4737</v>
      </c>
      <c r="K15" s="22"/>
      <c r="L15" s="22"/>
      <c r="M15" s="22"/>
      <c r="N15" s="22">
        <v>2456</v>
      </c>
      <c r="O15" s="22"/>
      <c r="P15" s="22"/>
      <c r="Q15" s="22"/>
      <c r="R15" s="22">
        <v>120</v>
      </c>
      <c r="S15" s="22"/>
      <c r="T15" s="22"/>
      <c r="U15" s="22"/>
      <c r="V15" s="22">
        <f>284+52</f>
        <v>336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7600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5700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37238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345">
        <f t="shared" si="0"/>
        <v>28498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1200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4000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1279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1002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4673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670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1921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1503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7500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1003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2550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2002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10481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1336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3171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2499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13209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1666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3794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2996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12936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15753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600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1996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4418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3444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16463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17592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675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2329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5045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3894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19826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19383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755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2662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5678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4345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23603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21461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855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2995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6319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4797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27940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23641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955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3328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6959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5249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32501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26042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1080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3664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7600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5700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37238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28498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1200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4000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" right="0" top="0.39370078740157483" bottom="0" header="0" footer="0"/>
  <pageSetup paperSize="9" scale="7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2" topLeftCell="I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3" width="10.42578125" customWidth="1"/>
    <col min="4" max="5" width="11.28515625" customWidth="1"/>
    <col min="7" max="7" width="11" bestFit="1" customWidth="1"/>
    <col min="8" max="8" width="9.5703125" bestFit="1" customWidth="1"/>
    <col min="9" max="9" width="9.5703125" customWidth="1"/>
    <col min="12" max="12" width="10.85546875" customWidth="1"/>
  </cols>
  <sheetData>
    <row r="1" spans="1:29" x14ac:dyDescent="0.2">
      <c r="A1" s="2"/>
      <c r="B1" s="357" t="s">
        <v>0</v>
      </c>
      <c r="C1" s="358"/>
      <c r="D1" s="357"/>
      <c r="E1" s="114"/>
      <c r="F1" s="359" t="s">
        <v>1</v>
      </c>
      <c r="G1" s="358"/>
      <c r="H1" s="358"/>
      <c r="I1" s="20"/>
      <c r="J1" s="19"/>
      <c r="K1" s="24" t="s">
        <v>2</v>
      </c>
      <c r="L1" s="25"/>
      <c r="N1" s="357" t="s">
        <v>192</v>
      </c>
      <c r="O1" s="358"/>
      <c r="P1" s="357"/>
      <c r="Q1" s="114"/>
      <c r="R1" s="359" t="s">
        <v>193</v>
      </c>
      <c r="S1" s="358"/>
      <c r="T1" s="358"/>
      <c r="U1" s="20"/>
      <c r="V1" s="19"/>
      <c r="W1" s="24" t="s">
        <v>188</v>
      </c>
      <c r="X1" s="25"/>
      <c r="Z1" s="19"/>
      <c r="AA1" s="24" t="s">
        <v>173</v>
      </c>
      <c r="AB1" s="25"/>
    </row>
    <row r="2" spans="1:29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22"/>
      <c r="J2" s="5" t="s">
        <v>6</v>
      </c>
      <c r="K2" s="360" t="s">
        <v>25</v>
      </c>
      <c r="L2" s="361"/>
      <c r="M2" s="122"/>
      <c r="N2" s="6" t="s">
        <v>6</v>
      </c>
      <c r="O2" s="360" t="s">
        <v>25</v>
      </c>
      <c r="P2" s="361"/>
      <c r="Q2" s="122"/>
      <c r="R2" s="6" t="s">
        <v>6</v>
      </c>
      <c r="S2" s="360" t="s">
        <v>25</v>
      </c>
      <c r="T2" s="361"/>
      <c r="U2" s="122"/>
      <c r="V2" s="5" t="s">
        <v>6</v>
      </c>
      <c r="W2" s="360" t="s">
        <v>25</v>
      </c>
      <c r="X2" s="361"/>
      <c r="Y2" s="122"/>
      <c r="Z2" s="5" t="s">
        <v>6</v>
      </c>
      <c r="AA2" s="360" t="s">
        <v>25</v>
      </c>
      <c r="AB2" s="361"/>
      <c r="AC2" s="12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9"/>
      <c r="O3" s="17" t="s">
        <v>27</v>
      </c>
      <c r="P3" s="15" t="s">
        <v>26</v>
      </c>
      <c r="Q3" s="115" t="s">
        <v>105</v>
      </c>
      <c r="R3" s="9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  <c r="Z3" s="7"/>
      <c r="AA3" s="17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4660</v>
      </c>
      <c r="C4" s="22"/>
      <c r="D4" s="22"/>
      <c r="E4" s="22"/>
      <c r="F4" s="22">
        <v>680</v>
      </c>
      <c r="G4" s="22"/>
      <c r="H4" s="22"/>
      <c r="I4" s="22"/>
      <c r="J4" s="22">
        <v>4290</v>
      </c>
      <c r="K4" s="22"/>
      <c r="L4" s="22"/>
      <c r="M4" s="124"/>
      <c r="N4" s="22">
        <v>4990</v>
      </c>
      <c r="O4" s="22"/>
      <c r="P4" s="22"/>
      <c r="Q4" s="22"/>
      <c r="R4" s="22">
        <v>491</v>
      </c>
      <c r="S4" s="22"/>
      <c r="T4" s="22"/>
      <c r="U4" s="22"/>
      <c r="V4" s="22">
        <v>700</v>
      </c>
      <c r="W4" s="22"/>
      <c r="X4" s="22"/>
      <c r="Y4" s="124"/>
      <c r="Z4" s="22">
        <v>160</v>
      </c>
      <c r="AA4" s="22"/>
      <c r="AB4" s="22"/>
      <c r="AC4" s="124"/>
    </row>
    <row r="5" spans="1:29" x14ac:dyDescent="0.2">
      <c r="A5" s="1" t="s">
        <v>7</v>
      </c>
      <c r="B5" s="22">
        <v>5354</v>
      </c>
      <c r="C5" s="22"/>
      <c r="D5" s="22"/>
      <c r="E5" s="22"/>
      <c r="F5" s="22">
        <v>730</v>
      </c>
      <c r="G5" s="22"/>
      <c r="H5" s="22"/>
      <c r="I5" s="22"/>
      <c r="J5" s="22">
        <v>5060</v>
      </c>
      <c r="K5" s="22"/>
      <c r="L5" s="22"/>
      <c r="M5" s="124"/>
      <c r="N5" s="22">
        <v>5475</v>
      </c>
      <c r="O5" s="22"/>
      <c r="P5" s="22"/>
      <c r="Q5" s="22"/>
      <c r="R5" s="22">
        <v>492</v>
      </c>
      <c r="S5" s="22"/>
      <c r="T5" s="22"/>
      <c r="U5" s="22"/>
      <c r="V5" s="22">
        <v>680</v>
      </c>
      <c r="W5" s="22"/>
      <c r="X5" s="22"/>
      <c r="Y5" s="124"/>
      <c r="Z5" s="22">
        <v>160</v>
      </c>
      <c r="AA5" s="22"/>
      <c r="AB5" s="22"/>
      <c r="AC5" s="124"/>
    </row>
    <row r="6" spans="1:29" x14ac:dyDescent="0.2">
      <c r="A6" s="1" t="s">
        <v>8</v>
      </c>
      <c r="B6" s="22">
        <v>5655</v>
      </c>
      <c r="C6" s="22"/>
      <c r="D6" s="22"/>
      <c r="E6" s="22"/>
      <c r="F6" s="22">
        <v>720</v>
      </c>
      <c r="G6" s="22"/>
      <c r="H6" s="22"/>
      <c r="I6" s="22"/>
      <c r="J6" s="22">
        <v>5055</v>
      </c>
      <c r="K6" s="22"/>
      <c r="L6" s="22"/>
      <c r="M6" s="124"/>
      <c r="N6" s="22">
        <v>5475</v>
      </c>
      <c r="O6" s="22"/>
      <c r="P6" s="22"/>
      <c r="Q6" s="22"/>
      <c r="R6" s="22">
        <v>491</v>
      </c>
      <c r="S6" s="22"/>
      <c r="T6" s="22"/>
      <c r="U6" s="22"/>
      <c r="V6" s="22">
        <v>680</v>
      </c>
      <c r="W6" s="22"/>
      <c r="X6" s="22"/>
      <c r="Y6" s="124"/>
      <c r="Z6" s="22">
        <v>159</v>
      </c>
      <c r="AA6" s="22"/>
      <c r="AB6" s="22"/>
      <c r="AC6" s="124"/>
    </row>
    <row r="7" spans="1:29" x14ac:dyDescent="0.2">
      <c r="A7" s="1" t="s">
        <v>16</v>
      </c>
      <c r="B7" s="22">
        <v>5472</v>
      </c>
      <c r="C7" s="22"/>
      <c r="D7" s="22"/>
      <c r="E7" s="22"/>
      <c r="F7" s="22">
        <v>710</v>
      </c>
      <c r="G7" s="22"/>
      <c r="H7" s="22"/>
      <c r="I7" s="22"/>
      <c r="J7" s="22">
        <v>5050</v>
      </c>
      <c r="K7" s="22"/>
      <c r="L7" s="22"/>
      <c r="M7" s="124"/>
      <c r="N7" s="22">
        <v>5265</v>
      </c>
      <c r="O7" s="22"/>
      <c r="P7" s="22"/>
      <c r="Q7" s="22"/>
      <c r="R7" s="22">
        <v>491</v>
      </c>
      <c r="S7" s="22"/>
      <c r="T7" s="22"/>
      <c r="U7" s="22"/>
      <c r="V7" s="22">
        <v>680</v>
      </c>
      <c r="W7" s="22"/>
      <c r="X7" s="22"/>
      <c r="Y7" s="124"/>
      <c r="Z7" s="22"/>
      <c r="AA7" s="22"/>
      <c r="AB7" s="22"/>
      <c r="AC7" s="124"/>
    </row>
    <row r="8" spans="1:29" x14ac:dyDescent="0.2">
      <c r="A8" s="1" t="s">
        <v>17</v>
      </c>
      <c r="B8" s="22">
        <v>5260</v>
      </c>
      <c r="C8" s="22"/>
      <c r="D8" s="22"/>
      <c r="E8" s="22"/>
      <c r="F8" s="22">
        <v>700</v>
      </c>
      <c r="G8" s="22"/>
      <c r="H8" s="22"/>
      <c r="I8" s="22"/>
      <c r="J8" s="22">
        <v>2935</v>
      </c>
      <c r="K8" s="22"/>
      <c r="L8" s="22"/>
      <c r="M8" s="124"/>
      <c r="N8" s="22">
        <v>4925</v>
      </c>
      <c r="O8" s="22"/>
      <c r="P8" s="22"/>
      <c r="Q8" s="22"/>
      <c r="R8" s="22">
        <v>491</v>
      </c>
      <c r="S8" s="22"/>
      <c r="T8" s="22"/>
      <c r="U8" s="22"/>
      <c r="V8" s="22">
        <v>680</v>
      </c>
      <c r="W8" s="22"/>
      <c r="X8" s="22"/>
      <c r="Y8" s="124"/>
      <c r="Z8" s="22"/>
      <c r="AA8" s="22"/>
      <c r="AB8" s="22"/>
      <c r="AC8" s="124"/>
    </row>
    <row r="9" spans="1:29" x14ac:dyDescent="0.2">
      <c r="A9" s="1" t="s">
        <v>18</v>
      </c>
      <c r="B9" s="22">
        <v>4590</v>
      </c>
      <c r="C9" s="22"/>
      <c r="D9" s="22"/>
      <c r="E9" s="22"/>
      <c r="F9" s="22">
        <v>690</v>
      </c>
      <c r="G9" s="22"/>
      <c r="H9" s="22"/>
      <c r="I9" s="22"/>
      <c r="J9" s="22">
        <v>2725</v>
      </c>
      <c r="K9" s="22"/>
      <c r="L9" s="22"/>
      <c r="M9" s="124"/>
      <c r="N9" s="22">
        <v>4755</v>
      </c>
      <c r="O9" s="22"/>
      <c r="P9" s="22"/>
      <c r="Q9" s="22"/>
      <c r="R9" s="22">
        <v>491</v>
      </c>
      <c r="S9" s="22"/>
      <c r="T9" s="22"/>
      <c r="U9" s="22"/>
      <c r="V9" s="22">
        <v>680</v>
      </c>
      <c r="W9" s="22"/>
      <c r="X9" s="22"/>
      <c r="Y9" s="124"/>
      <c r="Z9" s="22"/>
      <c r="AA9" s="22"/>
      <c r="AB9" s="22"/>
      <c r="AC9" s="124"/>
    </row>
    <row r="10" spans="1:29" x14ac:dyDescent="0.2">
      <c r="A10" s="1" t="s">
        <v>19</v>
      </c>
      <c r="B10" s="22">
        <v>4100</v>
      </c>
      <c r="C10" s="104"/>
      <c r="D10" s="104"/>
      <c r="E10" s="104"/>
      <c r="F10" s="22">
        <v>700</v>
      </c>
      <c r="G10" s="104"/>
      <c r="H10" s="104"/>
      <c r="I10" s="104"/>
      <c r="J10" s="22">
        <v>8525</v>
      </c>
      <c r="K10" s="104"/>
      <c r="L10" s="104"/>
      <c r="M10" s="124"/>
      <c r="N10" s="22">
        <v>3370</v>
      </c>
      <c r="O10" s="104"/>
      <c r="P10" s="104"/>
      <c r="Q10" s="104"/>
      <c r="R10" s="22">
        <v>1550</v>
      </c>
      <c r="S10" s="104"/>
      <c r="T10" s="104"/>
      <c r="U10" s="104"/>
      <c r="V10" s="22">
        <f>600+96</f>
        <v>696</v>
      </c>
      <c r="W10" s="104"/>
      <c r="X10" s="104"/>
      <c r="Y10" s="124"/>
      <c r="Z10" s="22"/>
      <c r="AA10" s="104"/>
      <c r="AB10" s="104"/>
      <c r="AC10" s="124"/>
    </row>
    <row r="11" spans="1:29" x14ac:dyDescent="0.2">
      <c r="A11" s="1" t="s">
        <v>10</v>
      </c>
      <c r="B11" s="22">
        <v>4060</v>
      </c>
      <c r="C11" s="22"/>
      <c r="D11" s="22"/>
      <c r="E11" s="22"/>
      <c r="F11" s="22">
        <v>700</v>
      </c>
      <c r="G11" s="22"/>
      <c r="H11" s="22"/>
      <c r="I11" s="22"/>
      <c r="J11" s="22">
        <v>8045</v>
      </c>
      <c r="K11" s="22"/>
      <c r="L11" s="22"/>
      <c r="M11" s="124"/>
      <c r="N11" s="22">
        <v>3405</v>
      </c>
      <c r="O11" s="22"/>
      <c r="P11" s="22"/>
      <c r="Q11" s="22"/>
      <c r="R11" s="22">
        <v>1108</v>
      </c>
      <c r="S11" s="22"/>
      <c r="T11" s="22"/>
      <c r="U11" s="22"/>
      <c r="V11" s="22">
        <f>585+96</f>
        <v>681</v>
      </c>
      <c r="W11" s="22"/>
      <c r="X11" s="22"/>
      <c r="Y11" s="124"/>
      <c r="Z11" s="22"/>
      <c r="AA11" s="22"/>
      <c r="AB11" s="22"/>
      <c r="AC11" s="124"/>
    </row>
    <row r="12" spans="1:29" x14ac:dyDescent="0.2">
      <c r="A12" s="1" t="s">
        <v>11</v>
      </c>
      <c r="B12" s="22">
        <v>4992</v>
      </c>
      <c r="C12" s="22"/>
      <c r="D12" s="22"/>
      <c r="E12" s="22"/>
      <c r="F12" s="22">
        <v>720</v>
      </c>
      <c r="G12" s="22"/>
      <c r="H12" s="22"/>
      <c r="I12" s="22"/>
      <c r="J12" s="22">
        <v>9730</v>
      </c>
      <c r="K12" s="22"/>
      <c r="L12" s="22"/>
      <c r="M12" s="124"/>
      <c r="N12" s="22">
        <v>3610</v>
      </c>
      <c r="O12" s="22"/>
      <c r="P12" s="22"/>
      <c r="Q12" s="22"/>
      <c r="R12" s="22">
        <v>1108</v>
      </c>
      <c r="S12" s="22"/>
      <c r="T12" s="22"/>
      <c r="U12" s="22"/>
      <c r="V12" s="22">
        <f>585+96</f>
        <v>681</v>
      </c>
      <c r="W12" s="22"/>
      <c r="X12" s="22"/>
      <c r="Y12" s="124"/>
      <c r="Z12" s="22"/>
      <c r="AA12" s="22"/>
      <c r="AB12" s="22"/>
      <c r="AC12" s="124"/>
    </row>
    <row r="13" spans="1:29" x14ac:dyDescent="0.2">
      <c r="A13" s="1" t="s">
        <v>12</v>
      </c>
      <c r="B13" s="22">
        <v>5303</v>
      </c>
      <c r="C13" s="22"/>
      <c r="D13" s="22"/>
      <c r="E13" s="22"/>
      <c r="F13" s="22">
        <v>720</v>
      </c>
      <c r="G13" s="22"/>
      <c r="H13" s="22"/>
      <c r="I13" s="22"/>
      <c r="J13" s="22">
        <v>9732</v>
      </c>
      <c r="K13" s="22"/>
      <c r="L13" s="22"/>
      <c r="M13" s="124"/>
      <c r="N13" s="22">
        <v>3710</v>
      </c>
      <c r="O13" s="22"/>
      <c r="P13" s="22"/>
      <c r="Q13" s="22"/>
      <c r="R13" s="22">
        <v>1108</v>
      </c>
      <c r="S13" s="22"/>
      <c r="T13" s="22"/>
      <c r="U13" s="22"/>
      <c r="V13" s="22">
        <f>585+96</f>
        <v>681</v>
      </c>
      <c r="W13" s="22"/>
      <c r="X13" s="22"/>
      <c r="Y13" s="124"/>
      <c r="Z13" s="22"/>
      <c r="AA13" s="22"/>
      <c r="AB13" s="22"/>
      <c r="AC13" s="124"/>
    </row>
    <row r="14" spans="1:29" x14ac:dyDescent="0.2">
      <c r="A14" s="1" t="s">
        <v>13</v>
      </c>
      <c r="B14" s="22">
        <v>5410</v>
      </c>
      <c r="C14" s="22"/>
      <c r="D14" s="22"/>
      <c r="E14" s="22"/>
      <c r="F14" s="22">
        <v>720</v>
      </c>
      <c r="G14" s="22"/>
      <c r="H14" s="22"/>
      <c r="I14" s="22"/>
      <c r="J14" s="22">
        <v>9745</v>
      </c>
      <c r="K14" s="22"/>
      <c r="L14" s="22"/>
      <c r="M14" s="124"/>
      <c r="N14" s="22">
        <v>3810</v>
      </c>
      <c r="O14" s="22"/>
      <c r="P14" s="22"/>
      <c r="Q14" s="22"/>
      <c r="R14" s="22">
        <v>1108</v>
      </c>
      <c r="S14" s="22"/>
      <c r="T14" s="22"/>
      <c r="U14" s="22"/>
      <c r="V14" s="22">
        <f>584+96</f>
        <v>680</v>
      </c>
      <c r="W14" s="22"/>
      <c r="X14" s="22"/>
      <c r="Y14" s="124"/>
      <c r="Z14" s="22"/>
      <c r="AA14" s="22"/>
      <c r="AB14" s="22"/>
      <c r="AC14" s="124"/>
    </row>
    <row r="15" spans="1:29" x14ac:dyDescent="0.2">
      <c r="A15" s="1" t="s">
        <v>14</v>
      </c>
      <c r="B15" s="22">
        <v>5344</v>
      </c>
      <c r="C15" s="22"/>
      <c r="D15" s="22"/>
      <c r="E15" s="22"/>
      <c r="F15" s="22">
        <v>710</v>
      </c>
      <c r="G15" s="22"/>
      <c r="H15" s="22"/>
      <c r="I15" s="22"/>
      <c r="J15" s="22">
        <v>9225</v>
      </c>
      <c r="K15" s="22"/>
      <c r="L15" s="22"/>
      <c r="M15" s="124"/>
      <c r="N15" s="22">
        <v>3827</v>
      </c>
      <c r="O15" s="22"/>
      <c r="P15" s="22"/>
      <c r="Q15" s="22"/>
      <c r="R15" s="22">
        <v>1108</v>
      </c>
      <c r="S15" s="22"/>
      <c r="T15" s="22"/>
      <c r="U15" s="22"/>
      <c r="V15" s="22">
        <f>585+96</f>
        <v>681</v>
      </c>
      <c r="W15" s="22"/>
      <c r="X15" s="22"/>
      <c r="Y15" s="124"/>
      <c r="Z15" s="22"/>
      <c r="AA15" s="22"/>
      <c r="AB15" s="22"/>
      <c r="AC15" s="124"/>
    </row>
    <row r="16" spans="1:29" x14ac:dyDescent="0.2">
      <c r="A16" s="18" t="s">
        <v>6</v>
      </c>
      <c r="B16" s="23">
        <f t="shared" ref="B16:M16" si="0">SUM(B4:B15)</f>
        <v>60200</v>
      </c>
      <c r="C16" s="23">
        <f t="shared" si="0"/>
        <v>0</v>
      </c>
      <c r="D16" s="23">
        <f t="shared" si="0"/>
        <v>0</v>
      </c>
      <c r="E16" s="23">
        <f t="shared" si="0"/>
        <v>0</v>
      </c>
      <c r="F16" s="23">
        <f t="shared" si="0"/>
        <v>8500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80117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>
        <f t="shared" ref="N16:Y16" si="1">SUM(N4:N15)</f>
        <v>52617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10037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8200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>SUM(Z4:Z15)</f>
        <v>479</v>
      </c>
      <c r="AA16" s="23">
        <f>SUM(AA4:AA15)</f>
        <v>0</v>
      </c>
      <c r="AB16" s="23">
        <f>SUM(AB4:AB15)</f>
        <v>0</v>
      </c>
      <c r="AC16" s="23">
        <f>SUM(AC4:AC15)</f>
        <v>0</v>
      </c>
    </row>
    <row r="17" spans="1:29" x14ac:dyDescent="0.2">
      <c r="A17" s="28" t="s">
        <v>28</v>
      </c>
      <c r="B17" s="30">
        <f t="shared" ref="B17:L17" si="2">B4+B5</f>
        <v>10014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1410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9350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10465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983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1380</v>
      </c>
      <c r="W17" s="30">
        <f t="shared" si="3"/>
        <v>0</v>
      </c>
      <c r="X17" s="30">
        <f t="shared" si="3"/>
        <v>0</v>
      </c>
      <c r="Y17" s="30">
        <f t="shared" si="3"/>
        <v>0</v>
      </c>
      <c r="Z17" s="30">
        <f>Z4+Z5</f>
        <v>320</v>
      </c>
      <c r="AA17" s="30">
        <f>AA4+AA5</f>
        <v>0</v>
      </c>
      <c r="AB17" s="30">
        <f>AB4+AB5</f>
        <v>0</v>
      </c>
      <c r="AC17" s="30">
        <f>AC4+AC5</f>
        <v>0</v>
      </c>
    </row>
    <row r="18" spans="1:29" x14ac:dyDescent="0.2">
      <c r="A18" s="28" t="s">
        <v>9</v>
      </c>
      <c r="B18" s="30">
        <f t="shared" ref="B18:B27" si="4">B17+B6</f>
        <v>15669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2130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14405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15940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1474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  <c r="V18" s="30">
        <f t="shared" ref="V18:V27" si="21">V17+V6</f>
        <v>2060</v>
      </c>
      <c r="W18" s="30">
        <f t="shared" ref="W18:W27" si="22">W17+W6</f>
        <v>0</v>
      </c>
      <c r="X18" s="30">
        <f t="shared" ref="X18:X27" si="23">X17+X6</f>
        <v>0</v>
      </c>
      <c r="Y18" s="30">
        <f t="shared" ref="Y18:Y27" si="24">Y17+Y6</f>
        <v>0</v>
      </c>
      <c r="Z18" s="30">
        <f t="shared" ref="Z18:Z27" si="25">Z17+Z6</f>
        <v>479</v>
      </c>
      <c r="AA18" s="30">
        <f t="shared" ref="AA18:AA27" si="26">AA17+AA6</f>
        <v>0</v>
      </c>
      <c r="AB18" s="30">
        <f t="shared" ref="AB18:AB27" si="27">AB17+AB6</f>
        <v>0</v>
      </c>
      <c r="AC18" s="30">
        <f t="shared" ref="AC18:AC27" si="28">AC17+AC6</f>
        <v>0</v>
      </c>
    </row>
    <row r="19" spans="1:29" x14ac:dyDescent="0.2">
      <c r="A19" s="28" t="s">
        <v>29</v>
      </c>
      <c r="B19" s="30">
        <f t="shared" si="4"/>
        <v>21141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2840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19455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21205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1965</v>
      </c>
      <c r="S19" s="30">
        <f t="shared" si="18"/>
        <v>0</v>
      </c>
      <c r="T19" s="30">
        <f t="shared" si="19"/>
        <v>0</v>
      </c>
      <c r="U19" s="30">
        <f t="shared" si="20"/>
        <v>0</v>
      </c>
      <c r="V19" s="30">
        <f t="shared" si="21"/>
        <v>2740</v>
      </c>
      <c r="W19" s="30">
        <f t="shared" si="22"/>
        <v>0</v>
      </c>
      <c r="X19" s="30">
        <f t="shared" si="23"/>
        <v>0</v>
      </c>
      <c r="Y19" s="30">
        <f t="shared" si="24"/>
        <v>0</v>
      </c>
      <c r="Z19" s="30">
        <f t="shared" si="25"/>
        <v>479</v>
      </c>
      <c r="AA19" s="30">
        <f t="shared" si="26"/>
        <v>0</v>
      </c>
      <c r="AB19" s="30">
        <f t="shared" si="27"/>
        <v>0</v>
      </c>
      <c r="AC19" s="30">
        <f t="shared" si="28"/>
        <v>0</v>
      </c>
    </row>
    <row r="20" spans="1:29" x14ac:dyDescent="0.2">
      <c r="A20" s="28" t="s">
        <v>30</v>
      </c>
      <c r="B20" s="30">
        <f t="shared" si="4"/>
        <v>26401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3540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22390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26130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2456</v>
      </c>
      <c r="S20" s="30">
        <f t="shared" si="18"/>
        <v>0</v>
      </c>
      <c r="T20" s="30">
        <f t="shared" si="19"/>
        <v>0</v>
      </c>
      <c r="U20" s="30">
        <f t="shared" si="20"/>
        <v>0</v>
      </c>
      <c r="V20" s="30">
        <f t="shared" si="21"/>
        <v>3420</v>
      </c>
      <c r="W20" s="30">
        <f t="shared" si="22"/>
        <v>0</v>
      </c>
      <c r="X20" s="30">
        <f t="shared" si="23"/>
        <v>0</v>
      </c>
      <c r="Y20" s="30">
        <f t="shared" si="24"/>
        <v>0</v>
      </c>
      <c r="Z20" s="30">
        <f t="shared" si="25"/>
        <v>479</v>
      </c>
      <c r="AA20" s="30">
        <f t="shared" si="26"/>
        <v>0</v>
      </c>
      <c r="AB20" s="30">
        <f t="shared" si="27"/>
        <v>0</v>
      </c>
      <c r="AC20" s="30">
        <f t="shared" si="28"/>
        <v>0</v>
      </c>
    </row>
    <row r="21" spans="1:29" x14ac:dyDescent="0.2">
      <c r="A21" s="28" t="s">
        <v>31</v>
      </c>
      <c r="B21" s="30">
        <f t="shared" si="4"/>
        <v>30991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4230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25115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30885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2947</v>
      </c>
      <c r="S21" s="30">
        <f t="shared" si="18"/>
        <v>0</v>
      </c>
      <c r="T21" s="30">
        <f t="shared" si="19"/>
        <v>0</v>
      </c>
      <c r="U21" s="30">
        <f t="shared" si="20"/>
        <v>0</v>
      </c>
      <c r="V21" s="30">
        <f t="shared" si="21"/>
        <v>4100</v>
      </c>
      <c r="W21" s="30">
        <f t="shared" si="22"/>
        <v>0</v>
      </c>
      <c r="X21" s="30">
        <f t="shared" si="23"/>
        <v>0</v>
      </c>
      <c r="Y21" s="30">
        <f t="shared" si="24"/>
        <v>0</v>
      </c>
      <c r="Z21" s="30">
        <f t="shared" si="25"/>
        <v>479</v>
      </c>
      <c r="AA21" s="30">
        <f t="shared" si="26"/>
        <v>0</v>
      </c>
      <c r="AB21" s="30">
        <f t="shared" si="27"/>
        <v>0</v>
      </c>
      <c r="AC21" s="30">
        <f t="shared" si="28"/>
        <v>0</v>
      </c>
    </row>
    <row r="22" spans="1:29" x14ac:dyDescent="0.2">
      <c r="A22" s="28" t="s">
        <v>32</v>
      </c>
      <c r="B22" s="30">
        <f t="shared" si="4"/>
        <v>35091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4930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33640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34255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4497</v>
      </c>
      <c r="S22" s="30">
        <f t="shared" si="18"/>
        <v>0</v>
      </c>
      <c r="T22" s="30">
        <f t="shared" si="19"/>
        <v>0</v>
      </c>
      <c r="U22" s="30">
        <f t="shared" si="20"/>
        <v>0</v>
      </c>
      <c r="V22" s="30">
        <f t="shared" si="21"/>
        <v>4796</v>
      </c>
      <c r="W22" s="30">
        <f t="shared" si="22"/>
        <v>0</v>
      </c>
      <c r="X22" s="30">
        <f t="shared" si="23"/>
        <v>0</v>
      </c>
      <c r="Y22" s="30">
        <f t="shared" si="24"/>
        <v>0</v>
      </c>
      <c r="Z22" s="30">
        <f t="shared" si="25"/>
        <v>479</v>
      </c>
      <c r="AA22" s="30">
        <f t="shared" si="26"/>
        <v>0</v>
      </c>
      <c r="AB22" s="30">
        <f t="shared" si="27"/>
        <v>0</v>
      </c>
      <c r="AC22" s="30">
        <f t="shared" si="28"/>
        <v>0</v>
      </c>
    </row>
    <row r="23" spans="1:29" x14ac:dyDescent="0.2">
      <c r="A23" s="28" t="s">
        <v>33</v>
      </c>
      <c r="B23" s="30">
        <f t="shared" si="4"/>
        <v>39151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5630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41685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37660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5605</v>
      </c>
      <c r="S23" s="30">
        <f t="shared" si="18"/>
        <v>0</v>
      </c>
      <c r="T23" s="30">
        <f t="shared" si="19"/>
        <v>0</v>
      </c>
      <c r="U23" s="30">
        <f t="shared" si="20"/>
        <v>0</v>
      </c>
      <c r="V23" s="30">
        <f t="shared" si="21"/>
        <v>5477</v>
      </c>
      <c r="W23" s="30">
        <f t="shared" si="22"/>
        <v>0</v>
      </c>
      <c r="X23" s="30">
        <f t="shared" si="23"/>
        <v>0</v>
      </c>
      <c r="Y23" s="30">
        <f t="shared" si="24"/>
        <v>0</v>
      </c>
      <c r="Z23" s="30">
        <f t="shared" si="25"/>
        <v>479</v>
      </c>
      <c r="AA23" s="30">
        <f t="shared" si="26"/>
        <v>0</v>
      </c>
      <c r="AB23" s="30">
        <f t="shared" si="27"/>
        <v>0</v>
      </c>
      <c r="AC23" s="30">
        <f t="shared" si="28"/>
        <v>0</v>
      </c>
    </row>
    <row r="24" spans="1:29" x14ac:dyDescent="0.2">
      <c r="A24" s="28" t="s">
        <v>34</v>
      </c>
      <c r="B24" s="30">
        <f t="shared" si="4"/>
        <v>44143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6350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51415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41270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6713</v>
      </c>
      <c r="S24" s="30">
        <f t="shared" si="18"/>
        <v>0</v>
      </c>
      <c r="T24" s="30">
        <f t="shared" si="19"/>
        <v>0</v>
      </c>
      <c r="U24" s="30">
        <f t="shared" si="20"/>
        <v>0</v>
      </c>
      <c r="V24" s="30">
        <f t="shared" si="21"/>
        <v>6158</v>
      </c>
      <c r="W24" s="30">
        <f t="shared" si="22"/>
        <v>0</v>
      </c>
      <c r="X24" s="30">
        <f t="shared" si="23"/>
        <v>0</v>
      </c>
      <c r="Y24" s="30">
        <f t="shared" si="24"/>
        <v>0</v>
      </c>
      <c r="Z24" s="30">
        <f t="shared" si="25"/>
        <v>479</v>
      </c>
      <c r="AA24" s="30">
        <f t="shared" si="26"/>
        <v>0</v>
      </c>
      <c r="AB24" s="30">
        <f t="shared" si="27"/>
        <v>0</v>
      </c>
      <c r="AC24" s="30">
        <f t="shared" si="28"/>
        <v>0</v>
      </c>
    </row>
    <row r="25" spans="1:29" x14ac:dyDescent="0.2">
      <c r="A25" s="28" t="s">
        <v>35</v>
      </c>
      <c r="B25" s="30">
        <f t="shared" si="4"/>
        <v>49446</v>
      </c>
      <c r="C25" s="30">
        <f t="shared" si="5"/>
        <v>0</v>
      </c>
      <c r="D25" s="30">
        <f t="shared" si="6"/>
        <v>0</v>
      </c>
      <c r="E25" s="30">
        <f t="shared" si="6"/>
        <v>0</v>
      </c>
      <c r="F25" s="30">
        <f t="shared" si="7"/>
        <v>7070</v>
      </c>
      <c r="G25" s="30">
        <f t="shared" si="8"/>
        <v>0</v>
      </c>
      <c r="H25" s="30">
        <f t="shared" si="9"/>
        <v>0</v>
      </c>
      <c r="I25" s="30">
        <f t="shared" si="9"/>
        <v>0</v>
      </c>
      <c r="J25" s="30">
        <f t="shared" si="10"/>
        <v>61147</v>
      </c>
      <c r="K25" s="30">
        <f t="shared" si="11"/>
        <v>0</v>
      </c>
      <c r="L25" s="30">
        <f t="shared" si="12"/>
        <v>0</v>
      </c>
      <c r="M25" s="30">
        <f t="shared" si="12"/>
        <v>0</v>
      </c>
      <c r="N25" s="30">
        <f t="shared" si="13"/>
        <v>44980</v>
      </c>
      <c r="O25" s="30">
        <f t="shared" si="14"/>
        <v>0</v>
      </c>
      <c r="P25" s="30">
        <f t="shared" si="15"/>
        <v>0</v>
      </c>
      <c r="Q25" s="30">
        <f t="shared" si="16"/>
        <v>0</v>
      </c>
      <c r="R25" s="30">
        <f t="shared" si="17"/>
        <v>7821</v>
      </c>
      <c r="S25" s="30">
        <f t="shared" si="18"/>
        <v>0</v>
      </c>
      <c r="T25" s="30">
        <f t="shared" si="19"/>
        <v>0</v>
      </c>
      <c r="U25" s="30">
        <f t="shared" si="20"/>
        <v>0</v>
      </c>
      <c r="V25" s="30">
        <f t="shared" si="21"/>
        <v>6839</v>
      </c>
      <c r="W25" s="30">
        <f t="shared" si="22"/>
        <v>0</v>
      </c>
      <c r="X25" s="30">
        <f t="shared" si="23"/>
        <v>0</v>
      </c>
      <c r="Y25" s="30">
        <f t="shared" si="24"/>
        <v>0</v>
      </c>
      <c r="Z25" s="30">
        <f t="shared" si="25"/>
        <v>479</v>
      </c>
      <c r="AA25" s="30">
        <f t="shared" si="26"/>
        <v>0</v>
      </c>
      <c r="AB25" s="30">
        <f t="shared" si="27"/>
        <v>0</v>
      </c>
      <c r="AC25" s="30">
        <f t="shared" si="28"/>
        <v>0</v>
      </c>
    </row>
    <row r="26" spans="1:29" x14ac:dyDescent="0.2">
      <c r="A26" s="28" t="s">
        <v>36</v>
      </c>
      <c r="B26" s="30">
        <f t="shared" si="4"/>
        <v>54856</v>
      </c>
      <c r="C26" s="30">
        <f t="shared" si="5"/>
        <v>0</v>
      </c>
      <c r="D26" s="30">
        <f t="shared" si="6"/>
        <v>0</v>
      </c>
      <c r="E26" s="30">
        <f t="shared" si="6"/>
        <v>0</v>
      </c>
      <c r="F26" s="30">
        <f t="shared" si="7"/>
        <v>7790</v>
      </c>
      <c r="G26" s="30">
        <f t="shared" si="8"/>
        <v>0</v>
      </c>
      <c r="H26" s="30">
        <f t="shared" si="9"/>
        <v>0</v>
      </c>
      <c r="I26" s="30">
        <f t="shared" si="9"/>
        <v>0</v>
      </c>
      <c r="J26" s="30">
        <f t="shared" si="10"/>
        <v>70892</v>
      </c>
      <c r="K26" s="30">
        <f t="shared" si="11"/>
        <v>0</v>
      </c>
      <c r="L26" s="30">
        <f t="shared" si="12"/>
        <v>0</v>
      </c>
      <c r="M26" s="30">
        <f t="shared" si="12"/>
        <v>0</v>
      </c>
      <c r="N26" s="30">
        <f t="shared" si="13"/>
        <v>48790</v>
      </c>
      <c r="O26" s="30">
        <f t="shared" si="14"/>
        <v>0</v>
      </c>
      <c r="P26" s="30">
        <f t="shared" si="15"/>
        <v>0</v>
      </c>
      <c r="Q26" s="30">
        <f t="shared" si="16"/>
        <v>0</v>
      </c>
      <c r="R26" s="30">
        <f t="shared" si="17"/>
        <v>8929</v>
      </c>
      <c r="S26" s="30">
        <f t="shared" si="18"/>
        <v>0</v>
      </c>
      <c r="T26" s="30">
        <f t="shared" si="19"/>
        <v>0</v>
      </c>
      <c r="U26" s="30">
        <f t="shared" si="20"/>
        <v>0</v>
      </c>
      <c r="V26" s="30">
        <f t="shared" si="21"/>
        <v>7519</v>
      </c>
      <c r="W26" s="30">
        <f t="shared" si="22"/>
        <v>0</v>
      </c>
      <c r="X26" s="30">
        <f t="shared" si="23"/>
        <v>0</v>
      </c>
      <c r="Y26" s="30">
        <f t="shared" si="24"/>
        <v>0</v>
      </c>
      <c r="Z26" s="30">
        <f t="shared" si="25"/>
        <v>479</v>
      </c>
      <c r="AA26" s="30">
        <f t="shared" si="26"/>
        <v>0</v>
      </c>
      <c r="AB26" s="30">
        <f t="shared" si="27"/>
        <v>0</v>
      </c>
      <c r="AC26" s="30">
        <f t="shared" si="28"/>
        <v>0</v>
      </c>
    </row>
    <row r="27" spans="1:29" x14ac:dyDescent="0.2">
      <c r="A27" s="12" t="s">
        <v>15</v>
      </c>
      <c r="B27" s="32">
        <f t="shared" si="4"/>
        <v>60200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8500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80117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52617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10037</v>
      </c>
      <c r="S27" s="32">
        <f t="shared" si="18"/>
        <v>0</v>
      </c>
      <c r="T27" s="32">
        <f t="shared" si="19"/>
        <v>0</v>
      </c>
      <c r="U27" s="32">
        <f t="shared" si="20"/>
        <v>0</v>
      </c>
      <c r="V27" s="32">
        <f t="shared" si="21"/>
        <v>8200</v>
      </c>
      <c r="W27" s="32">
        <f t="shared" si="22"/>
        <v>0</v>
      </c>
      <c r="X27" s="32">
        <f t="shared" si="23"/>
        <v>0</v>
      </c>
      <c r="Y27" s="32">
        <f t="shared" si="24"/>
        <v>0</v>
      </c>
      <c r="Z27" s="32">
        <f t="shared" si="25"/>
        <v>479</v>
      </c>
      <c r="AA27" s="32">
        <f t="shared" si="26"/>
        <v>0</v>
      </c>
      <c r="AB27" s="32">
        <f t="shared" si="27"/>
        <v>0</v>
      </c>
      <c r="AC27" s="32">
        <f t="shared" si="28"/>
        <v>0</v>
      </c>
    </row>
  </sheetData>
  <mergeCells count="11">
    <mergeCell ref="S2:T2"/>
    <mergeCell ref="AA2:AB2"/>
    <mergeCell ref="C2:D2"/>
    <mergeCell ref="G2:H2"/>
    <mergeCell ref="K2:L2"/>
    <mergeCell ref="B1:D1"/>
    <mergeCell ref="F1:H1"/>
    <mergeCell ref="W2:X2"/>
    <mergeCell ref="N1:P1"/>
    <mergeCell ref="R1:T1"/>
    <mergeCell ref="O2:P2"/>
  </mergeCells>
  <phoneticPr fontId="0" type="noConversion"/>
  <pageMargins left="0" right="0" top="0" bottom="0" header="0" footer="0"/>
  <pageSetup paperSize="9" scale="6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2" topLeftCell="I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3" width="10.42578125" customWidth="1"/>
    <col min="4" max="5" width="11.28515625" customWidth="1"/>
    <col min="7" max="7" width="11" bestFit="1" customWidth="1"/>
    <col min="8" max="8" width="9.5703125" bestFit="1" customWidth="1"/>
    <col min="9" max="9" width="9.5703125" customWidth="1"/>
    <col min="12" max="12" width="10.85546875" customWidth="1"/>
  </cols>
  <sheetData>
    <row r="1" spans="1:27" x14ac:dyDescent="0.2">
      <c r="A1" s="2"/>
      <c r="B1" s="357" t="s">
        <v>0</v>
      </c>
      <c r="C1" s="358"/>
      <c r="D1" s="357"/>
      <c r="E1" s="114"/>
      <c r="F1" s="359" t="s">
        <v>1</v>
      </c>
      <c r="G1" s="358"/>
      <c r="H1" s="358"/>
      <c r="I1" s="362"/>
      <c r="J1" s="363" t="s">
        <v>2</v>
      </c>
      <c r="K1" s="364"/>
      <c r="L1" s="364"/>
      <c r="M1" s="364"/>
      <c r="N1" s="357" t="s">
        <v>192</v>
      </c>
      <c r="O1" s="358"/>
      <c r="P1" s="357"/>
      <c r="Q1" s="114"/>
      <c r="R1" s="359" t="s">
        <v>193</v>
      </c>
      <c r="S1" s="358"/>
      <c r="T1" s="358"/>
      <c r="U1" s="362"/>
      <c r="V1" s="363" t="s">
        <v>188</v>
      </c>
      <c r="W1" s="364"/>
      <c r="X1" s="364"/>
      <c r="Y1" s="364"/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72"/>
      <c r="E2" s="373"/>
      <c r="F2" s="6" t="s">
        <v>6</v>
      </c>
      <c r="G2" s="360" t="s">
        <v>25</v>
      </c>
      <c r="H2" s="357"/>
      <c r="I2" s="357"/>
      <c r="J2" s="5" t="s">
        <v>6</v>
      </c>
      <c r="K2" s="360" t="s">
        <v>25</v>
      </c>
      <c r="L2" s="357"/>
      <c r="M2" s="361"/>
      <c r="N2" s="6" t="s">
        <v>6</v>
      </c>
      <c r="O2" s="360" t="s">
        <v>25</v>
      </c>
      <c r="P2" s="372"/>
      <c r="Q2" s="373"/>
      <c r="R2" s="6" t="s">
        <v>6</v>
      </c>
      <c r="S2" s="360" t="s">
        <v>25</v>
      </c>
      <c r="T2" s="357"/>
      <c r="U2" s="357"/>
      <c r="V2" s="5" t="s">
        <v>6</v>
      </c>
      <c r="W2" s="360" t="s">
        <v>25</v>
      </c>
      <c r="X2" s="357"/>
      <c r="Y2" s="361"/>
    </row>
    <row r="3" spans="1:27" x14ac:dyDescent="0.2">
      <c r="A3" s="4"/>
      <c r="B3" s="9"/>
      <c r="C3" s="17" t="s">
        <v>27</v>
      </c>
      <c r="D3" s="15" t="s">
        <v>26</v>
      </c>
      <c r="E3" s="21" t="s">
        <v>105</v>
      </c>
      <c r="F3" s="9"/>
      <c r="G3" s="17" t="s">
        <v>27</v>
      </c>
      <c r="H3" s="15" t="s">
        <v>26</v>
      </c>
      <c r="I3" s="21" t="s">
        <v>105</v>
      </c>
      <c r="J3" s="7"/>
      <c r="K3" s="17" t="s">
        <v>27</v>
      </c>
      <c r="L3" s="15" t="s">
        <v>26</v>
      </c>
      <c r="M3" s="21" t="s">
        <v>105</v>
      </c>
      <c r="N3" s="9"/>
      <c r="O3" s="17" t="s">
        <v>27</v>
      </c>
      <c r="P3" s="15" t="s">
        <v>26</v>
      </c>
      <c r="Q3" s="21" t="s">
        <v>105</v>
      </c>
      <c r="R3" s="9"/>
      <c r="S3" s="17" t="s">
        <v>27</v>
      </c>
      <c r="T3" s="15" t="s">
        <v>26</v>
      </c>
      <c r="U3" s="21" t="s">
        <v>105</v>
      </c>
      <c r="V3" s="7"/>
      <c r="W3" s="17" t="s">
        <v>27</v>
      </c>
      <c r="X3" s="15" t="s">
        <v>26</v>
      </c>
      <c r="Y3" s="21" t="s">
        <v>105</v>
      </c>
    </row>
    <row r="4" spans="1:27" x14ac:dyDescent="0.2">
      <c r="A4" s="1" t="s">
        <v>4</v>
      </c>
      <c r="B4" s="22">
        <v>72</v>
      </c>
      <c r="C4" s="22"/>
      <c r="D4" s="22"/>
      <c r="E4" s="22"/>
      <c r="F4" s="22">
        <v>410</v>
      </c>
      <c r="G4" s="22"/>
      <c r="H4" s="22"/>
      <c r="I4" s="22"/>
      <c r="J4" s="22">
        <v>345</v>
      </c>
      <c r="K4" s="22"/>
      <c r="L4" s="22"/>
      <c r="M4" s="21"/>
      <c r="N4" s="22">
        <v>750</v>
      </c>
      <c r="O4" s="22"/>
      <c r="P4" s="22"/>
      <c r="Q4" s="22"/>
      <c r="R4" s="22">
        <v>20</v>
      </c>
      <c r="S4" s="22"/>
      <c r="T4" s="22"/>
      <c r="U4" s="22"/>
      <c r="V4" s="22"/>
      <c r="W4" s="22"/>
      <c r="X4" s="22"/>
      <c r="Y4" s="21"/>
    </row>
    <row r="5" spans="1:27" x14ac:dyDescent="0.2">
      <c r="A5" s="1" t="s">
        <v>7</v>
      </c>
      <c r="B5" s="22">
        <v>75</v>
      </c>
      <c r="C5" s="22"/>
      <c r="D5" s="22"/>
      <c r="E5" s="22"/>
      <c r="F5" s="22">
        <v>420</v>
      </c>
      <c r="G5" s="22"/>
      <c r="H5" s="22"/>
      <c r="I5" s="22"/>
      <c r="J5" s="22">
        <v>345</v>
      </c>
      <c r="K5" s="22"/>
      <c r="L5" s="22"/>
      <c r="M5" s="21"/>
      <c r="N5" s="22">
        <v>750</v>
      </c>
      <c r="O5" s="22"/>
      <c r="P5" s="22"/>
      <c r="Q5" s="22"/>
      <c r="R5" s="22">
        <v>20</v>
      </c>
      <c r="S5" s="22"/>
      <c r="T5" s="22"/>
      <c r="U5" s="22"/>
      <c r="V5" s="22"/>
      <c r="W5" s="22"/>
      <c r="X5" s="22"/>
      <c r="Y5" s="21"/>
    </row>
    <row r="6" spans="1:27" x14ac:dyDescent="0.2">
      <c r="A6" s="1" t="s">
        <v>8</v>
      </c>
      <c r="B6" s="22">
        <v>77</v>
      </c>
      <c r="C6" s="22"/>
      <c r="D6" s="22"/>
      <c r="E6" s="22"/>
      <c r="F6" s="22">
        <v>440</v>
      </c>
      <c r="G6" s="22"/>
      <c r="H6" s="22"/>
      <c r="I6" s="22"/>
      <c r="J6" s="22">
        <v>345</v>
      </c>
      <c r="K6" s="22"/>
      <c r="L6" s="22"/>
      <c r="M6" s="21"/>
      <c r="N6" s="22">
        <v>780</v>
      </c>
      <c r="O6" s="22"/>
      <c r="P6" s="22"/>
      <c r="Q6" s="22"/>
      <c r="R6" s="22">
        <v>20</v>
      </c>
      <c r="S6" s="22"/>
      <c r="T6" s="22"/>
      <c r="U6" s="22"/>
      <c r="V6" s="22"/>
      <c r="W6" s="22"/>
      <c r="X6" s="22"/>
      <c r="Y6" s="21"/>
    </row>
    <row r="7" spans="1:27" x14ac:dyDescent="0.2">
      <c r="A7" s="1" t="s">
        <v>16</v>
      </c>
      <c r="B7" s="22">
        <v>70</v>
      </c>
      <c r="C7" s="22"/>
      <c r="D7" s="22"/>
      <c r="E7" s="22"/>
      <c r="F7" s="22">
        <v>430</v>
      </c>
      <c r="G7" s="22"/>
      <c r="H7" s="22"/>
      <c r="I7" s="22"/>
      <c r="J7" s="22">
        <v>345</v>
      </c>
      <c r="K7" s="22"/>
      <c r="L7" s="22"/>
      <c r="M7" s="21"/>
      <c r="N7" s="22">
        <v>750</v>
      </c>
      <c r="O7" s="22"/>
      <c r="P7" s="22"/>
      <c r="Q7" s="22"/>
      <c r="R7" s="22">
        <v>20</v>
      </c>
      <c r="S7" s="22"/>
      <c r="T7" s="22"/>
      <c r="U7" s="22"/>
      <c r="V7" s="22"/>
      <c r="W7" s="22"/>
      <c r="X7" s="22"/>
      <c r="Y7" s="21"/>
    </row>
    <row r="8" spans="1:27" x14ac:dyDescent="0.2">
      <c r="A8" s="1" t="s">
        <v>17</v>
      </c>
      <c r="B8" s="22">
        <v>77</v>
      </c>
      <c r="C8" s="22"/>
      <c r="D8" s="22"/>
      <c r="E8" s="22"/>
      <c r="F8" s="22">
        <v>400</v>
      </c>
      <c r="G8" s="22"/>
      <c r="H8" s="22"/>
      <c r="I8" s="22"/>
      <c r="J8" s="22">
        <v>345</v>
      </c>
      <c r="K8" s="22"/>
      <c r="L8" s="22"/>
      <c r="M8" s="21"/>
      <c r="N8" s="22">
        <v>750</v>
      </c>
      <c r="O8" s="22"/>
      <c r="P8" s="22"/>
      <c r="Q8" s="22"/>
      <c r="R8" s="22">
        <v>20</v>
      </c>
      <c r="S8" s="22"/>
      <c r="T8" s="22"/>
      <c r="U8" s="22"/>
      <c r="V8" s="22"/>
      <c r="W8" s="22"/>
      <c r="X8" s="22"/>
      <c r="Y8" s="21"/>
    </row>
    <row r="9" spans="1:27" x14ac:dyDescent="0.2">
      <c r="A9" s="1" t="s">
        <v>18</v>
      </c>
      <c r="B9" s="22">
        <v>67</v>
      </c>
      <c r="C9" s="22"/>
      <c r="D9" s="22"/>
      <c r="E9" s="22"/>
      <c r="F9" s="22">
        <v>400</v>
      </c>
      <c r="G9" s="22"/>
      <c r="H9" s="22"/>
      <c r="I9" s="22"/>
      <c r="J9" s="22">
        <v>345</v>
      </c>
      <c r="K9" s="22"/>
      <c r="L9" s="22"/>
      <c r="M9" s="21"/>
      <c r="N9" s="22">
        <v>750</v>
      </c>
      <c r="O9" s="22"/>
      <c r="P9" s="22"/>
      <c r="Q9" s="22"/>
      <c r="R9" s="22">
        <v>20</v>
      </c>
      <c r="S9" s="22"/>
      <c r="T9" s="22"/>
      <c r="U9" s="22"/>
      <c r="V9" s="22"/>
      <c r="W9" s="22"/>
      <c r="X9" s="22"/>
      <c r="Y9" s="21"/>
    </row>
    <row r="10" spans="1:27" x14ac:dyDescent="0.2">
      <c r="A10" s="1" t="s">
        <v>19</v>
      </c>
      <c r="B10" s="22">
        <v>77</v>
      </c>
      <c r="C10" s="104"/>
      <c r="D10" s="104"/>
      <c r="E10" s="104"/>
      <c r="F10" s="22">
        <v>390</v>
      </c>
      <c r="G10" s="104"/>
      <c r="H10" s="104"/>
      <c r="I10" s="104"/>
      <c r="J10" s="22">
        <v>400</v>
      </c>
      <c r="K10" s="104"/>
      <c r="L10" s="104"/>
      <c r="M10" s="21"/>
      <c r="N10" s="22">
        <v>600</v>
      </c>
      <c r="O10" s="104"/>
      <c r="P10" s="104"/>
      <c r="Q10" s="104"/>
      <c r="R10" s="22">
        <v>60</v>
      </c>
      <c r="S10" s="104"/>
      <c r="T10" s="104"/>
      <c r="U10" s="104"/>
      <c r="V10" s="22"/>
      <c r="W10" s="104"/>
      <c r="X10" s="104"/>
      <c r="Y10" s="21"/>
    </row>
    <row r="11" spans="1:27" x14ac:dyDescent="0.2">
      <c r="A11" s="1" t="s">
        <v>10</v>
      </c>
      <c r="B11" s="22">
        <v>75</v>
      </c>
      <c r="C11" s="104"/>
      <c r="D11" s="22"/>
      <c r="E11" s="22"/>
      <c r="F11" s="22">
        <v>400</v>
      </c>
      <c r="G11" s="22"/>
      <c r="H11" s="22"/>
      <c r="I11" s="22"/>
      <c r="J11" s="22">
        <v>500</v>
      </c>
      <c r="K11" s="22"/>
      <c r="L11" s="22"/>
      <c r="M11" s="21"/>
      <c r="N11" s="22">
        <v>670</v>
      </c>
      <c r="O11" s="104"/>
      <c r="P11" s="22"/>
      <c r="Q11" s="22"/>
      <c r="R11" s="22">
        <v>65</v>
      </c>
      <c r="S11" s="22"/>
      <c r="T11" s="22"/>
      <c r="U11" s="22"/>
      <c r="V11" s="22"/>
      <c r="W11" s="22"/>
      <c r="X11" s="22"/>
      <c r="Y11" s="21"/>
    </row>
    <row r="12" spans="1:27" x14ac:dyDescent="0.2">
      <c r="A12" s="1" t="s">
        <v>11</v>
      </c>
      <c r="B12" s="22">
        <v>78</v>
      </c>
      <c r="C12" s="104"/>
      <c r="D12" s="22"/>
      <c r="E12" s="22"/>
      <c r="F12" s="22">
        <v>410</v>
      </c>
      <c r="G12" s="22"/>
      <c r="H12" s="22"/>
      <c r="I12" s="22"/>
      <c r="J12" s="22">
        <v>410</v>
      </c>
      <c r="K12" s="22"/>
      <c r="L12" s="22"/>
      <c r="M12" s="21"/>
      <c r="N12" s="22">
        <v>770</v>
      </c>
      <c r="O12" s="104"/>
      <c r="P12" s="22"/>
      <c r="Q12" s="22"/>
      <c r="R12" s="22">
        <v>60</v>
      </c>
      <c r="S12" s="22"/>
      <c r="T12" s="22"/>
      <c r="U12" s="22"/>
      <c r="V12" s="22"/>
      <c r="W12" s="22"/>
      <c r="X12" s="22"/>
      <c r="Y12" s="21"/>
    </row>
    <row r="13" spans="1:27" x14ac:dyDescent="0.2">
      <c r="A13" s="1" t="s">
        <v>12</v>
      </c>
      <c r="B13" s="22">
        <v>77</v>
      </c>
      <c r="C13" s="104"/>
      <c r="D13" s="22"/>
      <c r="E13" s="22"/>
      <c r="F13" s="22">
        <v>430</v>
      </c>
      <c r="G13" s="22"/>
      <c r="H13" s="22"/>
      <c r="I13" s="22"/>
      <c r="J13" s="22">
        <v>510</v>
      </c>
      <c r="K13" s="22"/>
      <c r="L13" s="22"/>
      <c r="M13" s="21"/>
      <c r="N13" s="22">
        <v>830</v>
      </c>
      <c r="O13" s="104"/>
      <c r="P13" s="22"/>
      <c r="Q13" s="22"/>
      <c r="R13" s="22">
        <v>65</v>
      </c>
      <c r="S13" s="22"/>
      <c r="T13" s="22"/>
      <c r="U13" s="22"/>
      <c r="V13" s="22"/>
      <c r="W13" s="22"/>
      <c r="X13" s="22"/>
      <c r="Y13" s="21"/>
    </row>
    <row r="14" spans="1:27" x14ac:dyDescent="0.2">
      <c r="A14" s="1" t="s">
        <v>13</v>
      </c>
      <c r="B14" s="22">
        <v>80</v>
      </c>
      <c r="C14" s="104"/>
      <c r="D14" s="22"/>
      <c r="E14" s="22"/>
      <c r="F14" s="22">
        <v>430</v>
      </c>
      <c r="G14" s="22"/>
      <c r="H14" s="22"/>
      <c r="I14" s="22"/>
      <c r="J14" s="22">
        <v>508</v>
      </c>
      <c r="K14" s="22"/>
      <c r="L14" s="22"/>
      <c r="M14" s="21"/>
      <c r="N14" s="22">
        <v>830</v>
      </c>
      <c r="O14" s="104"/>
      <c r="P14" s="22"/>
      <c r="Q14" s="22"/>
      <c r="R14" s="22">
        <v>60</v>
      </c>
      <c r="S14" s="22"/>
      <c r="T14" s="22"/>
      <c r="U14" s="22"/>
      <c r="V14" s="22"/>
      <c r="W14" s="22"/>
      <c r="X14" s="22"/>
      <c r="Y14" s="21"/>
    </row>
    <row r="15" spans="1:27" x14ac:dyDescent="0.2">
      <c r="A15" s="1" t="s">
        <v>14</v>
      </c>
      <c r="B15" s="22">
        <v>75</v>
      </c>
      <c r="C15" s="104"/>
      <c r="D15" s="22"/>
      <c r="E15" s="22"/>
      <c r="F15" s="22">
        <v>440</v>
      </c>
      <c r="G15" s="22"/>
      <c r="H15" s="22"/>
      <c r="I15" s="22"/>
      <c r="J15" s="22">
        <v>470</v>
      </c>
      <c r="K15" s="22"/>
      <c r="L15" s="22"/>
      <c r="M15" s="21"/>
      <c r="N15" s="22">
        <v>730</v>
      </c>
      <c r="O15" s="104"/>
      <c r="P15" s="22"/>
      <c r="Q15" s="22"/>
      <c r="R15" s="22">
        <v>70</v>
      </c>
      <c r="S15" s="22"/>
      <c r="T15" s="22"/>
      <c r="U15" s="22"/>
      <c r="V15" s="22"/>
      <c r="W15" s="22"/>
      <c r="X15" s="22"/>
      <c r="Y15" s="21"/>
    </row>
    <row r="16" spans="1:27" x14ac:dyDescent="0.2">
      <c r="A16" s="18" t="s">
        <v>6</v>
      </c>
      <c r="B16" s="23">
        <f>SUM(B4:B15)</f>
        <v>900</v>
      </c>
      <c r="C16" s="23">
        <f t="shared" ref="C16:M16" si="0">SUM(C4:C15)</f>
        <v>0</v>
      </c>
      <c r="D16" s="23">
        <f t="shared" si="0"/>
        <v>0</v>
      </c>
      <c r="E16" s="23">
        <f t="shared" si="0"/>
        <v>0</v>
      </c>
      <c r="F16" s="23">
        <f t="shared" si="0"/>
        <v>5000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4868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>
        <f t="shared" ref="N16:Y16" si="1">SUM(N4:N15)</f>
        <v>8960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500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</row>
    <row r="17" spans="1:25" x14ac:dyDescent="0.2">
      <c r="A17" s="28" t="s">
        <v>28</v>
      </c>
      <c r="B17" s="30">
        <f t="shared" ref="B17:L17" si="2">B4+B5</f>
        <v>147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830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690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1500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40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0</v>
      </c>
      <c r="W17" s="30">
        <f t="shared" si="3"/>
        <v>0</v>
      </c>
      <c r="X17" s="30">
        <f t="shared" si="3"/>
        <v>0</v>
      </c>
      <c r="Y17" s="30">
        <f t="shared" si="3"/>
        <v>0</v>
      </c>
    </row>
    <row r="18" spans="1:25" x14ac:dyDescent="0.2">
      <c r="A18" s="28" t="s">
        <v>9</v>
      </c>
      <c r="B18" s="30">
        <f t="shared" ref="B18:B27" si="4">B17+B6</f>
        <v>224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1270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1035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2280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60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  <c r="V18" s="30">
        <f t="shared" ref="V18:V27" si="21">V17+V6</f>
        <v>0</v>
      </c>
      <c r="W18" s="30">
        <f t="shared" ref="W18:W27" si="22">W17+W6</f>
        <v>0</v>
      </c>
      <c r="X18" s="30">
        <f t="shared" ref="X18:X27" si="23">X17+X6</f>
        <v>0</v>
      </c>
      <c r="Y18" s="30">
        <f t="shared" ref="Y18:Y27" si="24">Y17+Y6</f>
        <v>0</v>
      </c>
    </row>
    <row r="19" spans="1:25" x14ac:dyDescent="0.2">
      <c r="A19" s="28" t="s">
        <v>29</v>
      </c>
      <c r="B19" s="30">
        <f t="shared" si="4"/>
        <v>294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1700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1380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3030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80</v>
      </c>
      <c r="S19" s="30">
        <f t="shared" si="18"/>
        <v>0</v>
      </c>
      <c r="T19" s="30">
        <f t="shared" si="19"/>
        <v>0</v>
      </c>
      <c r="U19" s="30">
        <f t="shared" si="20"/>
        <v>0</v>
      </c>
      <c r="V19" s="30">
        <f t="shared" si="21"/>
        <v>0</v>
      </c>
      <c r="W19" s="30">
        <f t="shared" si="22"/>
        <v>0</v>
      </c>
      <c r="X19" s="30">
        <f t="shared" si="23"/>
        <v>0</v>
      </c>
      <c r="Y19" s="30">
        <f t="shared" si="24"/>
        <v>0</v>
      </c>
    </row>
    <row r="20" spans="1:25" x14ac:dyDescent="0.2">
      <c r="A20" s="28" t="s">
        <v>30</v>
      </c>
      <c r="B20" s="30">
        <f t="shared" si="4"/>
        <v>371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2100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1725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3780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100</v>
      </c>
      <c r="S20" s="30">
        <f t="shared" si="18"/>
        <v>0</v>
      </c>
      <c r="T20" s="30">
        <f t="shared" si="19"/>
        <v>0</v>
      </c>
      <c r="U20" s="30">
        <f t="shared" si="20"/>
        <v>0</v>
      </c>
      <c r="V20" s="30">
        <f t="shared" si="21"/>
        <v>0</v>
      </c>
      <c r="W20" s="30">
        <f t="shared" si="22"/>
        <v>0</v>
      </c>
      <c r="X20" s="30">
        <f t="shared" si="23"/>
        <v>0</v>
      </c>
      <c r="Y20" s="30">
        <f t="shared" si="24"/>
        <v>0</v>
      </c>
    </row>
    <row r="21" spans="1:25" x14ac:dyDescent="0.2">
      <c r="A21" s="28" t="s">
        <v>31</v>
      </c>
      <c r="B21" s="30">
        <f t="shared" si="4"/>
        <v>438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2500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2070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4530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120</v>
      </c>
      <c r="S21" s="30">
        <f t="shared" si="18"/>
        <v>0</v>
      </c>
      <c r="T21" s="30">
        <f t="shared" si="19"/>
        <v>0</v>
      </c>
      <c r="U21" s="30">
        <f t="shared" si="20"/>
        <v>0</v>
      </c>
      <c r="V21" s="30">
        <f t="shared" si="21"/>
        <v>0</v>
      </c>
      <c r="W21" s="30">
        <f t="shared" si="22"/>
        <v>0</v>
      </c>
      <c r="X21" s="30">
        <f t="shared" si="23"/>
        <v>0</v>
      </c>
      <c r="Y21" s="30">
        <f t="shared" si="24"/>
        <v>0</v>
      </c>
    </row>
    <row r="22" spans="1:25" x14ac:dyDescent="0.2">
      <c r="A22" s="28" t="s">
        <v>32</v>
      </c>
      <c r="B22" s="30">
        <f t="shared" si="4"/>
        <v>515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2890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2470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5130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180</v>
      </c>
      <c r="S22" s="30">
        <f t="shared" si="18"/>
        <v>0</v>
      </c>
      <c r="T22" s="30">
        <f t="shared" si="19"/>
        <v>0</v>
      </c>
      <c r="U22" s="30">
        <f t="shared" si="20"/>
        <v>0</v>
      </c>
      <c r="V22" s="30">
        <f t="shared" si="21"/>
        <v>0</v>
      </c>
      <c r="W22" s="30">
        <f t="shared" si="22"/>
        <v>0</v>
      </c>
      <c r="X22" s="30">
        <f t="shared" si="23"/>
        <v>0</v>
      </c>
      <c r="Y22" s="30">
        <f t="shared" si="24"/>
        <v>0</v>
      </c>
    </row>
    <row r="23" spans="1:25" x14ac:dyDescent="0.2">
      <c r="A23" s="28" t="s">
        <v>33</v>
      </c>
      <c r="B23" s="30">
        <f t="shared" si="4"/>
        <v>590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3290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2970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5800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245</v>
      </c>
      <c r="S23" s="30">
        <f t="shared" si="18"/>
        <v>0</v>
      </c>
      <c r="T23" s="30">
        <f t="shared" si="19"/>
        <v>0</v>
      </c>
      <c r="U23" s="30">
        <f t="shared" si="20"/>
        <v>0</v>
      </c>
      <c r="V23" s="30">
        <f t="shared" si="21"/>
        <v>0</v>
      </c>
      <c r="W23" s="30">
        <f t="shared" si="22"/>
        <v>0</v>
      </c>
      <c r="X23" s="30">
        <f t="shared" si="23"/>
        <v>0</v>
      </c>
      <c r="Y23" s="30">
        <f t="shared" si="24"/>
        <v>0</v>
      </c>
    </row>
    <row r="24" spans="1:25" x14ac:dyDescent="0.2">
      <c r="A24" s="29" t="s">
        <v>34</v>
      </c>
      <c r="B24" s="30">
        <f t="shared" si="4"/>
        <v>668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3700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3380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6570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305</v>
      </c>
      <c r="S24" s="30">
        <f t="shared" si="18"/>
        <v>0</v>
      </c>
      <c r="T24" s="30">
        <f t="shared" si="19"/>
        <v>0</v>
      </c>
      <c r="U24" s="30">
        <f t="shared" si="20"/>
        <v>0</v>
      </c>
      <c r="V24" s="30">
        <f t="shared" si="21"/>
        <v>0</v>
      </c>
      <c r="W24" s="30">
        <f t="shared" si="22"/>
        <v>0</v>
      </c>
      <c r="X24" s="30">
        <f t="shared" si="23"/>
        <v>0</v>
      </c>
      <c r="Y24" s="30">
        <f t="shared" si="24"/>
        <v>0</v>
      </c>
    </row>
    <row r="25" spans="1:25" x14ac:dyDescent="0.2">
      <c r="A25" s="29" t="s">
        <v>35</v>
      </c>
      <c r="B25" s="30">
        <f t="shared" si="4"/>
        <v>745</v>
      </c>
      <c r="C25" s="30">
        <f t="shared" si="5"/>
        <v>0</v>
      </c>
      <c r="D25" s="30">
        <f t="shared" si="6"/>
        <v>0</v>
      </c>
      <c r="E25" s="30">
        <f t="shared" si="6"/>
        <v>0</v>
      </c>
      <c r="F25" s="30">
        <f t="shared" si="7"/>
        <v>4130</v>
      </c>
      <c r="G25" s="30">
        <f t="shared" si="8"/>
        <v>0</v>
      </c>
      <c r="H25" s="30">
        <f t="shared" si="9"/>
        <v>0</v>
      </c>
      <c r="I25" s="30">
        <f t="shared" si="9"/>
        <v>0</v>
      </c>
      <c r="J25" s="30">
        <f t="shared" si="10"/>
        <v>3890</v>
      </c>
      <c r="K25" s="30">
        <f t="shared" si="11"/>
        <v>0</v>
      </c>
      <c r="L25" s="30">
        <f t="shared" si="12"/>
        <v>0</v>
      </c>
      <c r="M25" s="30">
        <f t="shared" si="12"/>
        <v>0</v>
      </c>
      <c r="N25" s="30">
        <f t="shared" si="13"/>
        <v>7400</v>
      </c>
      <c r="O25" s="30">
        <f t="shared" si="14"/>
        <v>0</v>
      </c>
      <c r="P25" s="30">
        <f t="shared" si="15"/>
        <v>0</v>
      </c>
      <c r="Q25" s="30">
        <f t="shared" si="16"/>
        <v>0</v>
      </c>
      <c r="R25" s="30">
        <f t="shared" si="17"/>
        <v>370</v>
      </c>
      <c r="S25" s="30">
        <f t="shared" si="18"/>
        <v>0</v>
      </c>
      <c r="T25" s="30">
        <f t="shared" si="19"/>
        <v>0</v>
      </c>
      <c r="U25" s="30">
        <f t="shared" si="20"/>
        <v>0</v>
      </c>
      <c r="V25" s="30">
        <f t="shared" si="21"/>
        <v>0</v>
      </c>
      <c r="W25" s="30">
        <f t="shared" si="22"/>
        <v>0</v>
      </c>
      <c r="X25" s="30">
        <f t="shared" si="23"/>
        <v>0</v>
      </c>
      <c r="Y25" s="30">
        <f t="shared" si="24"/>
        <v>0</v>
      </c>
    </row>
    <row r="26" spans="1:25" x14ac:dyDescent="0.2">
      <c r="A26" s="29" t="s">
        <v>36</v>
      </c>
      <c r="B26" s="30">
        <f t="shared" si="4"/>
        <v>825</v>
      </c>
      <c r="C26" s="30">
        <f t="shared" si="5"/>
        <v>0</v>
      </c>
      <c r="D26" s="30">
        <f t="shared" si="6"/>
        <v>0</v>
      </c>
      <c r="E26" s="30">
        <f t="shared" si="6"/>
        <v>0</v>
      </c>
      <c r="F26" s="30">
        <f t="shared" si="7"/>
        <v>4560</v>
      </c>
      <c r="G26" s="30">
        <f t="shared" si="8"/>
        <v>0</v>
      </c>
      <c r="H26" s="30">
        <f t="shared" si="9"/>
        <v>0</v>
      </c>
      <c r="I26" s="30">
        <f t="shared" si="9"/>
        <v>0</v>
      </c>
      <c r="J26" s="30">
        <f t="shared" si="10"/>
        <v>4398</v>
      </c>
      <c r="K26" s="30">
        <f t="shared" si="11"/>
        <v>0</v>
      </c>
      <c r="L26" s="30">
        <f t="shared" si="12"/>
        <v>0</v>
      </c>
      <c r="M26" s="30">
        <f t="shared" si="12"/>
        <v>0</v>
      </c>
      <c r="N26" s="30">
        <f t="shared" si="13"/>
        <v>8230</v>
      </c>
      <c r="O26" s="30">
        <f t="shared" si="14"/>
        <v>0</v>
      </c>
      <c r="P26" s="30">
        <f t="shared" si="15"/>
        <v>0</v>
      </c>
      <c r="Q26" s="30">
        <f t="shared" si="16"/>
        <v>0</v>
      </c>
      <c r="R26" s="30">
        <f t="shared" si="17"/>
        <v>430</v>
      </c>
      <c r="S26" s="30">
        <f t="shared" si="18"/>
        <v>0</v>
      </c>
      <c r="T26" s="30">
        <f t="shared" si="19"/>
        <v>0</v>
      </c>
      <c r="U26" s="30">
        <f t="shared" si="20"/>
        <v>0</v>
      </c>
      <c r="V26" s="30">
        <f t="shared" si="21"/>
        <v>0</v>
      </c>
      <c r="W26" s="30">
        <f t="shared" si="22"/>
        <v>0</v>
      </c>
      <c r="X26" s="30">
        <f t="shared" si="23"/>
        <v>0</v>
      </c>
      <c r="Y26" s="30">
        <f t="shared" si="24"/>
        <v>0</v>
      </c>
    </row>
    <row r="27" spans="1:25" x14ac:dyDescent="0.2">
      <c r="A27" s="12" t="s">
        <v>15</v>
      </c>
      <c r="B27" s="32">
        <f t="shared" si="4"/>
        <v>900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5000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4868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8960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500</v>
      </c>
      <c r="S27" s="32">
        <f t="shared" si="18"/>
        <v>0</v>
      </c>
      <c r="T27" s="32">
        <f t="shared" si="19"/>
        <v>0</v>
      </c>
      <c r="U27" s="32">
        <f t="shared" si="20"/>
        <v>0</v>
      </c>
      <c r="V27" s="32">
        <f t="shared" si="21"/>
        <v>0</v>
      </c>
      <c r="W27" s="32">
        <f t="shared" si="22"/>
        <v>0</v>
      </c>
      <c r="X27" s="32">
        <f t="shared" si="23"/>
        <v>0</v>
      </c>
      <c r="Y27" s="32">
        <f t="shared" si="24"/>
        <v>0</v>
      </c>
    </row>
  </sheetData>
  <mergeCells count="12">
    <mergeCell ref="N1:P1"/>
    <mergeCell ref="R1:U1"/>
    <mergeCell ref="V1:Y1"/>
    <mergeCell ref="O2:Q2"/>
    <mergeCell ref="S2:U2"/>
    <mergeCell ref="W2:Y2"/>
    <mergeCell ref="B1:D1"/>
    <mergeCell ref="K2:M2"/>
    <mergeCell ref="J1:M1"/>
    <mergeCell ref="F1:I1"/>
    <mergeCell ref="G2:I2"/>
    <mergeCell ref="C2:E2"/>
  </mergeCells>
  <phoneticPr fontId="0" type="noConversion"/>
  <pageMargins left="0" right="0" top="0" bottom="0" header="0" footer="0"/>
  <pageSetup paperSize="9" scale="6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H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10.5703125" bestFit="1" customWidth="1"/>
    <col min="9" max="9" width="10.5703125" customWidth="1"/>
    <col min="11" max="11" width="9.28515625" bestFit="1" customWidth="1"/>
    <col min="12" max="12" width="10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574</v>
      </c>
      <c r="C4" s="22"/>
      <c r="D4" s="22"/>
      <c r="E4" s="22"/>
      <c r="F4" s="22">
        <v>326</v>
      </c>
      <c r="G4" s="22"/>
      <c r="H4" s="22"/>
      <c r="I4" s="125"/>
      <c r="J4" s="22">
        <v>1555</v>
      </c>
      <c r="K4" s="22"/>
      <c r="L4" s="22"/>
      <c r="M4" s="22"/>
      <c r="N4" s="22">
        <v>1870</v>
      </c>
      <c r="O4" s="22"/>
      <c r="P4" s="22"/>
      <c r="Q4" s="22"/>
      <c r="R4" s="22">
        <v>83</v>
      </c>
      <c r="S4" s="22"/>
      <c r="T4" s="22"/>
      <c r="U4" s="22"/>
      <c r="V4" s="22">
        <v>285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574</v>
      </c>
      <c r="C5" s="22"/>
      <c r="D5" s="22"/>
      <c r="E5" s="22"/>
      <c r="F5" s="22">
        <v>334</v>
      </c>
      <c r="G5" s="22"/>
      <c r="H5" s="22"/>
      <c r="I5" s="125"/>
      <c r="J5" s="22">
        <v>1558</v>
      </c>
      <c r="K5" s="22"/>
      <c r="L5" s="22"/>
      <c r="M5" s="22"/>
      <c r="N5" s="22">
        <v>1877</v>
      </c>
      <c r="O5" s="22"/>
      <c r="P5" s="22"/>
      <c r="Q5" s="22"/>
      <c r="R5" s="22">
        <v>83</v>
      </c>
      <c r="S5" s="22"/>
      <c r="T5" s="22"/>
      <c r="U5" s="22"/>
      <c r="V5" s="22">
        <v>295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574</v>
      </c>
      <c r="C6" s="22"/>
      <c r="D6" s="22"/>
      <c r="E6" s="22"/>
      <c r="F6" s="22">
        <v>334</v>
      </c>
      <c r="G6" s="22"/>
      <c r="H6" s="22"/>
      <c r="I6" s="125"/>
      <c r="J6" s="22">
        <v>1558</v>
      </c>
      <c r="K6" s="22"/>
      <c r="L6" s="22"/>
      <c r="M6" s="22"/>
      <c r="N6" s="22">
        <v>1877</v>
      </c>
      <c r="O6" s="22"/>
      <c r="P6" s="22"/>
      <c r="Q6" s="22"/>
      <c r="R6" s="22">
        <v>83</v>
      </c>
      <c r="S6" s="22"/>
      <c r="T6" s="22"/>
      <c r="U6" s="22"/>
      <c r="V6" s="22">
        <v>295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574</v>
      </c>
      <c r="C7" s="22"/>
      <c r="D7" s="22"/>
      <c r="E7" s="22"/>
      <c r="F7" s="22">
        <v>334</v>
      </c>
      <c r="G7" s="22"/>
      <c r="H7" s="22"/>
      <c r="I7" s="125"/>
      <c r="J7" s="22">
        <v>1558</v>
      </c>
      <c r="K7" s="22"/>
      <c r="L7" s="22"/>
      <c r="M7" s="22"/>
      <c r="N7" s="22">
        <v>1877</v>
      </c>
      <c r="O7" s="22"/>
      <c r="P7" s="22"/>
      <c r="Q7" s="22"/>
      <c r="R7" s="22">
        <v>83</v>
      </c>
      <c r="S7" s="22"/>
      <c r="T7" s="22"/>
      <c r="U7" s="22"/>
      <c r="V7" s="22">
        <v>295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574</v>
      </c>
      <c r="C8" s="22"/>
      <c r="D8" s="22"/>
      <c r="E8" s="22"/>
      <c r="F8" s="22">
        <v>334</v>
      </c>
      <c r="G8" s="22"/>
      <c r="H8" s="22"/>
      <c r="I8" s="125"/>
      <c r="J8" s="22">
        <v>1558</v>
      </c>
      <c r="K8" s="22"/>
      <c r="L8" s="22"/>
      <c r="M8" s="22"/>
      <c r="N8" s="22">
        <v>1877</v>
      </c>
      <c r="O8" s="22"/>
      <c r="P8" s="22"/>
      <c r="Q8" s="22"/>
      <c r="R8" s="22">
        <v>83</v>
      </c>
      <c r="S8" s="22"/>
      <c r="T8" s="22"/>
      <c r="U8" s="22"/>
      <c r="V8" s="22">
        <v>295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574</v>
      </c>
      <c r="C9" s="22"/>
      <c r="D9" s="22"/>
      <c r="E9" s="22"/>
      <c r="F9" s="22">
        <v>334</v>
      </c>
      <c r="G9" s="22"/>
      <c r="H9" s="22"/>
      <c r="I9" s="125"/>
      <c r="J9" s="22">
        <v>1558</v>
      </c>
      <c r="K9" s="22"/>
      <c r="L9" s="22"/>
      <c r="M9" s="22"/>
      <c r="N9" s="22">
        <v>1877</v>
      </c>
      <c r="O9" s="22"/>
      <c r="P9" s="22"/>
      <c r="Q9" s="22"/>
      <c r="R9" s="22">
        <v>83</v>
      </c>
      <c r="S9" s="22"/>
      <c r="T9" s="22"/>
      <c r="U9" s="22"/>
      <c r="V9" s="22">
        <v>295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574</v>
      </c>
      <c r="C10" s="22"/>
      <c r="D10" s="22"/>
      <c r="E10" s="22"/>
      <c r="F10" s="22">
        <v>251</v>
      </c>
      <c r="G10" s="22"/>
      <c r="H10" s="22"/>
      <c r="I10" s="125"/>
      <c r="J10" s="22">
        <v>6288</v>
      </c>
      <c r="K10" s="22"/>
      <c r="L10" s="22"/>
      <c r="M10" s="22"/>
      <c r="N10" s="22">
        <v>501</v>
      </c>
      <c r="O10" s="22"/>
      <c r="P10" s="22"/>
      <c r="Q10" s="22"/>
      <c r="R10" s="22">
        <v>83</v>
      </c>
      <c r="S10" s="22"/>
      <c r="T10" s="22"/>
      <c r="U10" s="22"/>
      <c r="V10" s="22">
        <v>286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574</v>
      </c>
      <c r="C11" s="22"/>
      <c r="D11" s="22"/>
      <c r="E11" s="22"/>
      <c r="F11" s="22">
        <v>251</v>
      </c>
      <c r="G11" s="22"/>
      <c r="H11" s="22"/>
      <c r="I11" s="125"/>
      <c r="J11" s="22">
        <v>6288</v>
      </c>
      <c r="K11" s="22"/>
      <c r="L11" s="22"/>
      <c r="M11" s="22"/>
      <c r="N11" s="22">
        <v>495</v>
      </c>
      <c r="O11" s="22"/>
      <c r="P11" s="22"/>
      <c r="Q11" s="22"/>
      <c r="R11" s="22">
        <v>83</v>
      </c>
      <c r="S11" s="22"/>
      <c r="T11" s="22"/>
      <c r="U11" s="22"/>
      <c r="V11" s="22">
        <v>286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574</v>
      </c>
      <c r="C12" s="22"/>
      <c r="D12" s="22"/>
      <c r="E12" s="22"/>
      <c r="F12" s="22">
        <v>251</v>
      </c>
      <c r="G12" s="22"/>
      <c r="H12" s="22"/>
      <c r="I12" s="125"/>
      <c r="J12" s="22">
        <v>6288</v>
      </c>
      <c r="K12" s="22"/>
      <c r="L12" s="22"/>
      <c r="M12" s="22"/>
      <c r="N12" s="22">
        <v>495</v>
      </c>
      <c r="O12" s="22"/>
      <c r="P12" s="22"/>
      <c r="Q12" s="22"/>
      <c r="R12" s="22">
        <v>83</v>
      </c>
      <c r="S12" s="22"/>
      <c r="T12" s="22"/>
      <c r="U12" s="22"/>
      <c r="V12" s="22">
        <v>286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574</v>
      </c>
      <c r="C13" s="22"/>
      <c r="D13" s="22"/>
      <c r="E13" s="22"/>
      <c r="F13" s="22">
        <v>251</v>
      </c>
      <c r="G13" s="22"/>
      <c r="H13" s="22"/>
      <c r="I13" s="125"/>
      <c r="J13" s="22">
        <v>6288</v>
      </c>
      <c r="K13" s="22"/>
      <c r="L13" s="22"/>
      <c r="M13" s="22"/>
      <c r="N13" s="22">
        <v>495</v>
      </c>
      <c r="O13" s="22"/>
      <c r="P13" s="22"/>
      <c r="Q13" s="22"/>
      <c r="R13" s="22">
        <v>83</v>
      </c>
      <c r="S13" s="22"/>
      <c r="T13" s="22"/>
      <c r="U13" s="22"/>
      <c r="V13" s="22">
        <v>286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574</v>
      </c>
      <c r="C14" s="22"/>
      <c r="D14" s="22"/>
      <c r="E14" s="22"/>
      <c r="F14" s="22">
        <v>251</v>
      </c>
      <c r="G14" s="22"/>
      <c r="H14" s="22"/>
      <c r="I14" s="125"/>
      <c r="J14" s="22">
        <v>6288</v>
      </c>
      <c r="K14" s="22"/>
      <c r="L14" s="22"/>
      <c r="M14" s="22"/>
      <c r="N14" s="22">
        <v>495</v>
      </c>
      <c r="O14" s="22"/>
      <c r="P14" s="22"/>
      <c r="Q14" s="22"/>
      <c r="R14" s="22">
        <v>83</v>
      </c>
      <c r="S14" s="22"/>
      <c r="T14" s="22"/>
      <c r="U14" s="22"/>
      <c r="V14" s="22">
        <v>286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598</v>
      </c>
      <c r="C15" s="22"/>
      <c r="D15" s="22"/>
      <c r="E15" s="22"/>
      <c r="F15" s="22">
        <v>249</v>
      </c>
      <c r="G15" s="22"/>
      <c r="H15" s="22"/>
      <c r="I15" s="125"/>
      <c r="J15" s="22">
        <v>6287</v>
      </c>
      <c r="K15" s="22"/>
      <c r="L15" s="22"/>
      <c r="M15" s="22"/>
      <c r="N15" s="22">
        <v>496</v>
      </c>
      <c r="O15" s="22"/>
      <c r="P15" s="22"/>
      <c r="Q15" s="22"/>
      <c r="R15" s="22">
        <v>87</v>
      </c>
      <c r="S15" s="22"/>
      <c r="T15" s="22"/>
      <c r="U15" s="22"/>
      <c r="V15" s="22">
        <v>287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6912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3500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47072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14232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1000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3477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1148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660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3113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3747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166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580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>Z4+Z10</f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/>
      <c r="B18" s="30">
        <f t="shared" ref="B18:AC27" si="2">B17+B6</f>
        <v>1722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994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4671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5624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249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875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2296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1328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6229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7501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332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1170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2870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1662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7787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9378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415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1465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3444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1996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9345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11255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498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1760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4018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2247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15633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11756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581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2046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4592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2498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21921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12251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664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2332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>Z22+Z11</f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5166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2749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28209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12746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747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2618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>Z23+Z12</f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5740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3000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34497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13241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830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2904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>Z24+Z13</f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6314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3251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40785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13736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913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3190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>Z25+Z14</f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6912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3500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47072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14232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1000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3477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6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10.5703125" hidden="1" customWidth="1"/>
    <col min="6" max="6" width="0" hidden="1" customWidth="1"/>
    <col min="7" max="7" width="11" hidden="1" customWidth="1"/>
    <col min="8" max="9" width="9.5703125" hidden="1" customWidth="1"/>
    <col min="12" max="12" width="9.5703125" bestFit="1" customWidth="1"/>
  </cols>
  <sheetData>
    <row r="1" spans="1:27" x14ac:dyDescent="0.2">
      <c r="A1" s="2"/>
      <c r="B1" s="365"/>
      <c r="C1" s="365"/>
      <c r="D1" s="365"/>
      <c r="E1" s="117"/>
      <c r="F1" s="359" t="s">
        <v>1</v>
      </c>
      <c r="G1" s="358"/>
      <c r="H1" s="358"/>
      <c r="I1" s="20"/>
      <c r="J1" s="359" t="s">
        <v>2</v>
      </c>
      <c r="K1" s="358"/>
      <c r="L1" s="358"/>
      <c r="M1" s="362"/>
      <c r="N1" s="359" t="s">
        <v>2</v>
      </c>
      <c r="O1" s="358"/>
      <c r="P1" s="358"/>
      <c r="Q1" s="362"/>
      <c r="S1" t="s">
        <v>193</v>
      </c>
      <c r="W1" t="s">
        <v>188</v>
      </c>
      <c r="AA1" t="s">
        <v>173</v>
      </c>
    </row>
    <row r="2" spans="1:27" x14ac:dyDescent="0.2">
      <c r="A2" s="3" t="s">
        <v>3</v>
      </c>
      <c r="B2" s="6" t="s">
        <v>6</v>
      </c>
      <c r="C2" s="366" t="s">
        <v>25</v>
      </c>
      <c r="D2" s="371"/>
      <c r="E2" s="123"/>
      <c r="F2" s="6" t="s">
        <v>6</v>
      </c>
      <c r="G2" s="366" t="s">
        <v>25</v>
      </c>
      <c r="H2" s="371"/>
      <c r="I2" s="117"/>
      <c r="J2" s="2" t="s">
        <v>6</v>
      </c>
      <c r="K2" s="358" t="s">
        <v>25</v>
      </c>
      <c r="L2" s="358"/>
      <c r="M2" s="362"/>
      <c r="N2" s="2" t="s">
        <v>6</v>
      </c>
      <c r="O2" s="358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4"/>
      <c r="K3" s="17" t="s">
        <v>27</v>
      </c>
      <c r="L3" s="15" t="s">
        <v>26</v>
      </c>
      <c r="M3" s="121" t="s">
        <v>105</v>
      </c>
      <c r="N3" s="4"/>
      <c r="O3" s="17" t="s">
        <v>27</v>
      </c>
      <c r="P3" s="15" t="s">
        <v>26</v>
      </c>
      <c r="Q3" s="121" t="s">
        <v>105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>
        <v>640</v>
      </c>
      <c r="K4" s="21"/>
      <c r="L4" s="22"/>
      <c r="M4" s="21"/>
      <c r="N4" s="22"/>
      <c r="O4" s="21"/>
      <c r="P4" s="22"/>
      <c r="Q4" s="21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>
        <v>640</v>
      </c>
      <c r="K5" s="21"/>
      <c r="L5" s="22"/>
      <c r="M5" s="21"/>
      <c r="N5" s="22"/>
      <c r="O5" s="21"/>
      <c r="P5" s="22"/>
      <c r="Q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640</v>
      </c>
      <c r="K6" s="21"/>
      <c r="L6" s="22"/>
      <c r="M6" s="21"/>
      <c r="N6" s="22"/>
      <c r="O6" s="21"/>
      <c r="P6" s="22"/>
      <c r="Q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640</v>
      </c>
      <c r="K7" s="21"/>
      <c r="L7" s="22"/>
      <c r="M7" s="21"/>
      <c r="N7" s="22"/>
      <c r="O7" s="21"/>
      <c r="P7" s="22"/>
      <c r="Q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v>640</v>
      </c>
      <c r="K8" s="21"/>
      <c r="L8" s="22"/>
      <c r="M8" s="21"/>
      <c r="N8" s="22"/>
      <c r="O8" s="21"/>
      <c r="P8" s="22"/>
      <c r="Q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640</v>
      </c>
      <c r="K9" s="21"/>
      <c r="L9" s="22"/>
      <c r="M9" s="21"/>
      <c r="N9" s="22"/>
      <c r="O9" s="21"/>
      <c r="P9" s="22"/>
      <c r="Q9" s="21"/>
    </row>
    <row r="10" spans="1:27" x14ac:dyDescent="0.2">
      <c r="A10" s="85" t="s">
        <v>19</v>
      </c>
      <c r="B10" s="83">
        <f t="shared" si="0"/>
        <v>0</v>
      </c>
      <c r="C10" s="83"/>
      <c r="D10" s="83"/>
      <c r="E10" s="83"/>
      <c r="F10" s="83">
        <f t="shared" si="1"/>
        <v>0</v>
      </c>
      <c r="G10" s="83"/>
      <c r="H10" s="83"/>
      <c r="I10" s="83"/>
      <c r="J10" s="22">
        <v>660</v>
      </c>
      <c r="K10" s="21"/>
      <c r="L10" s="22"/>
      <c r="M10" s="21"/>
      <c r="N10" s="22"/>
      <c r="O10" s="21"/>
      <c r="P10" s="22"/>
      <c r="Q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1250</v>
      </c>
      <c r="K11" s="21"/>
      <c r="L11" s="22"/>
      <c r="M11" s="21"/>
      <c r="N11" s="22">
        <v>700</v>
      </c>
      <c r="O11" s="21"/>
      <c r="P11" s="22"/>
      <c r="Q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1250</v>
      </c>
      <c r="K12" s="21"/>
      <c r="L12" s="22"/>
      <c r="M12" s="21"/>
      <c r="N12" s="22">
        <v>700</v>
      </c>
      <c r="O12" s="21"/>
      <c r="P12" s="22"/>
      <c r="Q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1250</v>
      </c>
      <c r="K13" s="21"/>
      <c r="L13" s="22"/>
      <c r="M13" s="21"/>
      <c r="N13" s="22">
        <v>700</v>
      </c>
      <c r="O13" s="21"/>
      <c r="P13" s="22"/>
      <c r="Q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v>1250</v>
      </c>
      <c r="K14" s="21"/>
      <c r="L14" s="22"/>
      <c r="M14" s="21"/>
      <c r="N14" s="22">
        <v>700</v>
      </c>
      <c r="O14" s="21"/>
      <c r="P14" s="22"/>
      <c r="Q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v>1000</v>
      </c>
      <c r="K15" s="21"/>
      <c r="L15" s="22"/>
      <c r="M15" s="21"/>
      <c r="N15" s="22">
        <v>700</v>
      </c>
      <c r="O15" s="21"/>
      <c r="P15" s="22"/>
      <c r="Q15" s="21"/>
    </row>
    <row r="16" spans="1:27" x14ac:dyDescent="0.2">
      <c r="A16" s="1" t="s">
        <v>6</v>
      </c>
      <c r="B16" s="22">
        <f>SUM(B4:B15)</f>
        <v>0</v>
      </c>
      <c r="C16" s="22">
        <f t="shared" ref="C16:H16" si="2">SUM(C4:C15)</f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ref="J16:Q16" si="3">SUM(J4:J15)</f>
        <v>10500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3500</v>
      </c>
      <c r="O16" s="22">
        <f t="shared" si="3"/>
        <v>0</v>
      </c>
      <c r="P16" s="22">
        <f t="shared" si="3"/>
        <v>0</v>
      </c>
      <c r="Q16" s="22">
        <f t="shared" si="3"/>
        <v>0</v>
      </c>
    </row>
    <row r="17" spans="1:17" x14ac:dyDescent="0.2">
      <c r="A17" s="28" t="s">
        <v>28</v>
      </c>
      <c r="B17" s="30">
        <f t="shared" ref="B17:L17" si="4">B4+B5</f>
        <v>0</v>
      </c>
      <c r="C17" s="30">
        <f t="shared" si="4"/>
        <v>0</v>
      </c>
      <c r="D17" s="30">
        <f t="shared" si="4"/>
        <v>0</v>
      </c>
      <c r="E17" s="30"/>
      <c r="F17" s="30">
        <f t="shared" si="4"/>
        <v>0</v>
      </c>
      <c r="G17" s="30">
        <f t="shared" si="4"/>
        <v>0</v>
      </c>
      <c r="H17" s="30">
        <f t="shared" si="4"/>
        <v>0</v>
      </c>
      <c r="I17" s="30"/>
      <c r="J17" s="30">
        <f t="shared" si="4"/>
        <v>1280</v>
      </c>
      <c r="K17" s="30">
        <f>K4+K5</f>
        <v>0</v>
      </c>
      <c r="L17" s="30">
        <f t="shared" si="4"/>
        <v>0</v>
      </c>
      <c r="M17" s="30">
        <f>M4+M5</f>
        <v>0</v>
      </c>
      <c r="N17" s="30">
        <f>N4+N5</f>
        <v>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96</v>
      </c>
      <c r="B18" s="30">
        <f t="shared" ref="B18:B27" si="5">B17+B6</f>
        <v>0</v>
      </c>
      <c r="C18" s="30">
        <f t="shared" ref="C18:C27" si="6">C17+C6</f>
        <v>0</v>
      </c>
      <c r="D18" s="30">
        <f t="shared" ref="D18:D27" si="7">D17+D6</f>
        <v>0</v>
      </c>
      <c r="E18" s="30"/>
      <c r="F18" s="30">
        <f t="shared" ref="F18:F27" si="8">F17+F6</f>
        <v>0</v>
      </c>
      <c r="G18" s="30">
        <f t="shared" ref="G18:G27" si="9">G17+G6</f>
        <v>0</v>
      </c>
      <c r="H18" s="30">
        <f t="shared" ref="H18:H27" si="10">H17+H6</f>
        <v>0</v>
      </c>
      <c r="I18" s="30"/>
      <c r="J18" s="30">
        <f t="shared" ref="J18:J27" si="11">J17+J6</f>
        <v>1920</v>
      </c>
      <c r="K18" s="30">
        <f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0</v>
      </c>
      <c r="O18" s="30">
        <f>O17+O6</f>
        <v>0</v>
      </c>
      <c r="P18" s="30">
        <f t="shared" ref="P18:P27" si="14">P17+P6</f>
        <v>0</v>
      </c>
      <c r="Q18" s="30">
        <f t="shared" ref="Q18:Q27" si="15">Q17+Q6</f>
        <v>0</v>
      </c>
    </row>
    <row r="19" spans="1:17" x14ac:dyDescent="0.2">
      <c r="A19" s="28" t="s">
        <v>29</v>
      </c>
      <c r="B19" s="30">
        <f t="shared" si="5"/>
        <v>0</v>
      </c>
      <c r="C19" s="30">
        <f t="shared" si="6"/>
        <v>0</v>
      </c>
      <c r="D19" s="30">
        <f t="shared" si="7"/>
        <v>0</v>
      </c>
      <c r="E19" s="30"/>
      <c r="F19" s="30">
        <f t="shared" si="8"/>
        <v>0</v>
      </c>
      <c r="G19" s="30">
        <f t="shared" si="9"/>
        <v>0</v>
      </c>
      <c r="H19" s="30">
        <f t="shared" si="10"/>
        <v>0</v>
      </c>
      <c r="I19" s="30"/>
      <c r="J19" s="30">
        <f t="shared" si="11"/>
        <v>2560</v>
      </c>
      <c r="K19" s="30">
        <f t="shared" ref="K19:K26" si="16">K18+K7</f>
        <v>0</v>
      </c>
      <c r="L19" s="30">
        <f t="shared" si="12"/>
        <v>0</v>
      </c>
      <c r="M19" s="30">
        <f t="shared" si="12"/>
        <v>0</v>
      </c>
      <c r="N19" s="30">
        <f t="shared" si="13"/>
        <v>0</v>
      </c>
      <c r="O19" s="30">
        <f t="shared" ref="O19:O26" si="17">O18+O7</f>
        <v>0</v>
      </c>
      <c r="P19" s="30">
        <f t="shared" si="14"/>
        <v>0</v>
      </c>
      <c r="Q19" s="30">
        <f t="shared" si="15"/>
        <v>0</v>
      </c>
    </row>
    <row r="20" spans="1:17" x14ac:dyDescent="0.2">
      <c r="A20" s="28" t="s">
        <v>30</v>
      </c>
      <c r="B20" s="30">
        <f t="shared" si="5"/>
        <v>0</v>
      </c>
      <c r="C20" s="30">
        <f t="shared" si="6"/>
        <v>0</v>
      </c>
      <c r="D20" s="30">
        <f t="shared" si="7"/>
        <v>0</v>
      </c>
      <c r="E20" s="30"/>
      <c r="F20" s="30">
        <f t="shared" si="8"/>
        <v>0</v>
      </c>
      <c r="G20" s="30">
        <f t="shared" si="9"/>
        <v>0</v>
      </c>
      <c r="H20" s="30">
        <f t="shared" si="10"/>
        <v>0</v>
      </c>
      <c r="I20" s="30"/>
      <c r="J20" s="30">
        <f t="shared" si="11"/>
        <v>3200</v>
      </c>
      <c r="K20" s="30">
        <f t="shared" si="16"/>
        <v>0</v>
      </c>
      <c r="L20" s="30">
        <f t="shared" si="12"/>
        <v>0</v>
      </c>
      <c r="M20" s="30">
        <f t="shared" si="12"/>
        <v>0</v>
      </c>
      <c r="N20" s="30">
        <f t="shared" si="13"/>
        <v>0</v>
      </c>
      <c r="O20" s="30">
        <f t="shared" si="17"/>
        <v>0</v>
      </c>
      <c r="P20" s="30">
        <f t="shared" si="14"/>
        <v>0</v>
      </c>
      <c r="Q20" s="30">
        <f t="shared" si="15"/>
        <v>0</v>
      </c>
    </row>
    <row r="21" spans="1:17" x14ac:dyDescent="0.2">
      <c r="A21" s="28" t="s">
        <v>31</v>
      </c>
      <c r="B21" s="30">
        <f t="shared" si="5"/>
        <v>0</v>
      </c>
      <c r="C21" s="30">
        <f t="shared" si="6"/>
        <v>0</v>
      </c>
      <c r="D21" s="30">
        <f t="shared" si="7"/>
        <v>0</v>
      </c>
      <c r="E21" s="30"/>
      <c r="F21" s="30">
        <f t="shared" si="8"/>
        <v>0</v>
      </c>
      <c r="G21" s="30">
        <f t="shared" si="9"/>
        <v>0</v>
      </c>
      <c r="H21" s="30">
        <f t="shared" si="10"/>
        <v>0</v>
      </c>
      <c r="I21" s="30"/>
      <c r="J21" s="30">
        <f t="shared" si="11"/>
        <v>3840</v>
      </c>
      <c r="K21" s="30">
        <f t="shared" si="16"/>
        <v>0</v>
      </c>
      <c r="L21" s="30">
        <f t="shared" si="12"/>
        <v>0</v>
      </c>
      <c r="M21" s="30">
        <f t="shared" si="12"/>
        <v>0</v>
      </c>
      <c r="N21" s="30">
        <f t="shared" si="13"/>
        <v>0</v>
      </c>
      <c r="O21" s="30">
        <f t="shared" si="17"/>
        <v>0</v>
      </c>
      <c r="P21" s="30">
        <f t="shared" si="14"/>
        <v>0</v>
      </c>
      <c r="Q21" s="30">
        <f t="shared" si="15"/>
        <v>0</v>
      </c>
    </row>
    <row r="22" spans="1:17" x14ac:dyDescent="0.2">
      <c r="A22" s="28" t="s">
        <v>32</v>
      </c>
      <c r="B22" s="30">
        <f t="shared" si="5"/>
        <v>0</v>
      </c>
      <c r="C22" s="30">
        <f t="shared" si="6"/>
        <v>0</v>
      </c>
      <c r="D22" s="30">
        <f t="shared" si="7"/>
        <v>0</v>
      </c>
      <c r="E22" s="30"/>
      <c r="F22" s="30">
        <f t="shared" si="8"/>
        <v>0</v>
      </c>
      <c r="G22" s="30">
        <f t="shared" si="9"/>
        <v>0</v>
      </c>
      <c r="H22" s="30">
        <f t="shared" si="10"/>
        <v>0</v>
      </c>
      <c r="I22" s="30"/>
      <c r="J22" s="30">
        <f t="shared" si="11"/>
        <v>4500</v>
      </c>
      <c r="K22" s="30">
        <f t="shared" si="16"/>
        <v>0</v>
      </c>
      <c r="L22" s="30">
        <f t="shared" si="12"/>
        <v>0</v>
      </c>
      <c r="M22" s="30">
        <f t="shared" si="12"/>
        <v>0</v>
      </c>
      <c r="N22" s="30">
        <f t="shared" si="13"/>
        <v>0</v>
      </c>
      <c r="O22" s="30">
        <f t="shared" si="17"/>
        <v>0</v>
      </c>
      <c r="P22" s="30">
        <f t="shared" si="14"/>
        <v>0</v>
      </c>
      <c r="Q22" s="30">
        <f t="shared" si="15"/>
        <v>0</v>
      </c>
    </row>
    <row r="23" spans="1:17" x14ac:dyDescent="0.2">
      <c r="A23" s="28" t="s">
        <v>33</v>
      </c>
      <c r="B23" s="30">
        <f t="shared" si="5"/>
        <v>0</v>
      </c>
      <c r="C23" s="30">
        <f t="shared" si="6"/>
        <v>0</v>
      </c>
      <c r="D23" s="30">
        <f t="shared" si="7"/>
        <v>0</v>
      </c>
      <c r="E23" s="30"/>
      <c r="F23" s="30">
        <f t="shared" si="8"/>
        <v>0</v>
      </c>
      <c r="G23" s="30">
        <f t="shared" si="9"/>
        <v>0</v>
      </c>
      <c r="H23" s="30">
        <f t="shared" si="10"/>
        <v>0</v>
      </c>
      <c r="I23" s="30"/>
      <c r="J23" s="30">
        <f t="shared" si="11"/>
        <v>5750</v>
      </c>
      <c r="K23" s="30">
        <f t="shared" si="16"/>
        <v>0</v>
      </c>
      <c r="L23" s="30">
        <f t="shared" si="12"/>
        <v>0</v>
      </c>
      <c r="M23" s="30">
        <f t="shared" si="12"/>
        <v>0</v>
      </c>
      <c r="N23" s="30">
        <f t="shared" si="13"/>
        <v>700</v>
      </c>
      <c r="O23" s="30">
        <f t="shared" si="17"/>
        <v>0</v>
      </c>
      <c r="P23" s="30">
        <f t="shared" si="14"/>
        <v>0</v>
      </c>
      <c r="Q23" s="30">
        <f t="shared" si="15"/>
        <v>0</v>
      </c>
    </row>
    <row r="24" spans="1:17" x14ac:dyDescent="0.2">
      <c r="A24" s="28" t="s">
        <v>34</v>
      </c>
      <c r="B24" s="30">
        <f t="shared" si="5"/>
        <v>0</v>
      </c>
      <c r="C24" s="30">
        <f t="shared" si="6"/>
        <v>0</v>
      </c>
      <c r="D24" s="30">
        <f t="shared" si="7"/>
        <v>0</v>
      </c>
      <c r="E24" s="30"/>
      <c r="F24" s="30">
        <f t="shared" si="8"/>
        <v>0</v>
      </c>
      <c r="G24" s="30">
        <f t="shared" si="9"/>
        <v>0</v>
      </c>
      <c r="H24" s="30">
        <f t="shared" si="10"/>
        <v>0</v>
      </c>
      <c r="I24" s="30"/>
      <c r="J24" s="30">
        <f t="shared" si="11"/>
        <v>7000</v>
      </c>
      <c r="K24" s="30">
        <f t="shared" si="16"/>
        <v>0</v>
      </c>
      <c r="L24" s="30">
        <f t="shared" si="12"/>
        <v>0</v>
      </c>
      <c r="M24" s="30">
        <f t="shared" si="12"/>
        <v>0</v>
      </c>
      <c r="N24" s="30">
        <f t="shared" si="13"/>
        <v>1400</v>
      </c>
      <c r="O24" s="30">
        <f t="shared" si="17"/>
        <v>0</v>
      </c>
      <c r="P24" s="30">
        <f t="shared" si="14"/>
        <v>0</v>
      </c>
      <c r="Q24" s="30">
        <f t="shared" si="15"/>
        <v>0</v>
      </c>
    </row>
    <row r="25" spans="1:17" x14ac:dyDescent="0.2">
      <c r="A25" s="29" t="s">
        <v>35</v>
      </c>
      <c r="B25" s="31">
        <f t="shared" si="5"/>
        <v>0</v>
      </c>
      <c r="C25" s="31">
        <f t="shared" si="6"/>
        <v>0</v>
      </c>
      <c r="D25" s="31">
        <f t="shared" si="7"/>
        <v>0</v>
      </c>
      <c r="E25" s="31"/>
      <c r="F25" s="31">
        <f t="shared" si="8"/>
        <v>0</v>
      </c>
      <c r="G25" s="31">
        <f t="shared" si="9"/>
        <v>0</v>
      </c>
      <c r="H25" s="31">
        <f t="shared" si="10"/>
        <v>0</v>
      </c>
      <c r="I25" s="31"/>
      <c r="J25" s="31">
        <f t="shared" si="11"/>
        <v>8250</v>
      </c>
      <c r="K25" s="30">
        <f t="shared" si="16"/>
        <v>0</v>
      </c>
      <c r="L25" s="31">
        <f t="shared" si="12"/>
        <v>0</v>
      </c>
      <c r="M25" s="31">
        <f t="shared" si="12"/>
        <v>0</v>
      </c>
      <c r="N25" s="31">
        <f t="shared" si="13"/>
        <v>2100</v>
      </c>
      <c r="O25" s="30">
        <f t="shared" si="17"/>
        <v>0</v>
      </c>
      <c r="P25" s="31">
        <f t="shared" si="14"/>
        <v>0</v>
      </c>
      <c r="Q25" s="31">
        <f t="shared" si="15"/>
        <v>0</v>
      </c>
    </row>
    <row r="26" spans="1:17" x14ac:dyDescent="0.2">
      <c r="A26" s="29" t="s">
        <v>36</v>
      </c>
      <c r="B26" s="31">
        <f t="shared" si="5"/>
        <v>0</v>
      </c>
      <c r="C26" s="31">
        <f t="shared" si="6"/>
        <v>0</v>
      </c>
      <c r="D26" s="31">
        <f t="shared" si="7"/>
        <v>0</v>
      </c>
      <c r="E26" s="31"/>
      <c r="F26" s="31">
        <f t="shared" si="8"/>
        <v>0</v>
      </c>
      <c r="G26" s="31">
        <f t="shared" si="9"/>
        <v>0</v>
      </c>
      <c r="H26" s="31">
        <f t="shared" si="10"/>
        <v>0</v>
      </c>
      <c r="I26" s="31"/>
      <c r="J26" s="31">
        <f t="shared" si="11"/>
        <v>9500</v>
      </c>
      <c r="K26" s="30">
        <f t="shared" si="16"/>
        <v>0</v>
      </c>
      <c r="L26" s="31">
        <f t="shared" si="12"/>
        <v>0</v>
      </c>
      <c r="M26" s="31">
        <f t="shared" si="12"/>
        <v>0</v>
      </c>
      <c r="N26" s="31">
        <f t="shared" si="13"/>
        <v>2800</v>
      </c>
      <c r="O26" s="30">
        <f t="shared" si="17"/>
        <v>0</v>
      </c>
      <c r="P26" s="31">
        <f t="shared" si="14"/>
        <v>0</v>
      </c>
      <c r="Q26" s="31">
        <f t="shared" si="15"/>
        <v>0</v>
      </c>
    </row>
    <row r="27" spans="1:17" x14ac:dyDescent="0.2">
      <c r="A27" s="12" t="s">
        <v>15</v>
      </c>
      <c r="B27" s="32">
        <f t="shared" si="5"/>
        <v>0</v>
      </c>
      <c r="C27" s="32">
        <f t="shared" si="6"/>
        <v>0</v>
      </c>
      <c r="D27" s="32">
        <f t="shared" si="7"/>
        <v>0</v>
      </c>
      <c r="E27" s="32"/>
      <c r="F27" s="32">
        <f t="shared" si="8"/>
        <v>0</v>
      </c>
      <c r="G27" s="32">
        <f t="shared" si="9"/>
        <v>0</v>
      </c>
      <c r="H27" s="32">
        <f t="shared" si="10"/>
        <v>0</v>
      </c>
      <c r="I27" s="32"/>
      <c r="J27" s="32">
        <f t="shared" si="11"/>
        <v>10500</v>
      </c>
      <c r="K27" s="32">
        <f>K26+K15</f>
        <v>0</v>
      </c>
      <c r="L27" s="32">
        <f t="shared" si="12"/>
        <v>0</v>
      </c>
      <c r="M27" s="32">
        <f t="shared" si="12"/>
        <v>0</v>
      </c>
      <c r="N27" s="32">
        <f t="shared" si="13"/>
        <v>3500</v>
      </c>
      <c r="O27" s="32">
        <f>O26+O15</f>
        <v>0</v>
      </c>
      <c r="P27" s="32">
        <f t="shared" si="14"/>
        <v>0</v>
      </c>
      <c r="Q27" s="32">
        <f t="shared" si="15"/>
        <v>0</v>
      </c>
    </row>
  </sheetData>
  <mergeCells count="8">
    <mergeCell ref="N1:Q1"/>
    <mergeCell ref="O2:Q2"/>
    <mergeCell ref="K2:M2"/>
    <mergeCell ref="J1:M1"/>
    <mergeCell ref="C2:D2"/>
    <mergeCell ref="G2:H2"/>
    <mergeCell ref="B1:D1"/>
    <mergeCell ref="F1:H1"/>
  </mergeCells>
  <phoneticPr fontId="0" type="noConversion"/>
  <pageMargins left="0" right="0.78740157480314965" top="0" bottom="0" header="0" footer="0"/>
  <pageSetup paperSize="9" scale="6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2" topLeftCell="H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7" x14ac:dyDescent="0.2">
      <c r="A1" s="2"/>
      <c r="B1" s="363" t="s">
        <v>0</v>
      </c>
      <c r="C1" s="364"/>
      <c r="D1" s="364"/>
      <c r="E1" s="374"/>
      <c r="F1" s="359" t="s">
        <v>1</v>
      </c>
      <c r="G1" s="358"/>
      <c r="H1" s="358"/>
      <c r="I1" s="362"/>
      <c r="J1" s="363" t="s">
        <v>2</v>
      </c>
      <c r="K1" s="364"/>
      <c r="L1" s="364"/>
      <c r="M1" s="364"/>
      <c r="N1" s="363" t="s">
        <v>192</v>
      </c>
      <c r="O1" s="364"/>
      <c r="P1" s="364"/>
      <c r="Q1" s="374"/>
      <c r="R1" s="359" t="s">
        <v>193</v>
      </c>
      <c r="S1" s="358"/>
      <c r="T1" s="358"/>
      <c r="U1" s="362"/>
      <c r="V1" s="363" t="s">
        <v>188</v>
      </c>
      <c r="W1" s="364"/>
      <c r="X1" s="364"/>
      <c r="Y1" s="364"/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7" t="s">
        <v>6</v>
      </c>
      <c r="K2" s="359" t="s">
        <v>25</v>
      </c>
      <c r="L2" s="358"/>
      <c r="M2" s="362"/>
      <c r="N2" s="6" t="s">
        <v>6</v>
      </c>
      <c r="O2" s="359" t="s">
        <v>25</v>
      </c>
      <c r="P2" s="358"/>
      <c r="Q2" s="362"/>
      <c r="R2" s="6" t="s">
        <v>6</v>
      </c>
      <c r="S2" s="359" t="s">
        <v>25</v>
      </c>
      <c r="T2" s="358"/>
      <c r="U2" s="362"/>
      <c r="V2" s="7" t="s">
        <v>6</v>
      </c>
      <c r="W2" s="359" t="s">
        <v>25</v>
      </c>
      <c r="X2" s="358"/>
      <c r="Y2" s="362"/>
    </row>
    <row r="3" spans="1:27" x14ac:dyDescent="0.2">
      <c r="A3" s="4"/>
      <c r="B3" s="9"/>
      <c r="C3" s="17" t="s">
        <v>27</v>
      </c>
      <c r="D3" s="15" t="s">
        <v>26</v>
      </c>
      <c r="E3" s="123" t="s">
        <v>105</v>
      </c>
      <c r="F3" s="9"/>
      <c r="G3" s="17" t="s">
        <v>27</v>
      </c>
      <c r="H3" s="15" t="s">
        <v>26</v>
      </c>
      <c r="I3" s="123" t="s">
        <v>105</v>
      </c>
      <c r="J3" s="7"/>
      <c r="K3" s="17" t="s">
        <v>27</v>
      </c>
      <c r="L3" s="15" t="s">
        <v>26</v>
      </c>
      <c r="M3" s="123" t="s">
        <v>105</v>
      </c>
      <c r="N3" s="9"/>
      <c r="O3" s="17" t="s">
        <v>27</v>
      </c>
      <c r="P3" s="15" t="s">
        <v>26</v>
      </c>
      <c r="Q3" s="123" t="s">
        <v>105</v>
      </c>
      <c r="R3" s="9"/>
      <c r="S3" s="17" t="s">
        <v>27</v>
      </c>
      <c r="T3" s="15" t="s">
        <v>26</v>
      </c>
      <c r="U3" s="123" t="s">
        <v>105</v>
      </c>
      <c r="V3" s="7"/>
      <c r="W3" s="17" t="s">
        <v>27</v>
      </c>
      <c r="X3" s="15" t="s">
        <v>26</v>
      </c>
      <c r="Y3" s="123" t="s">
        <v>105</v>
      </c>
    </row>
    <row r="4" spans="1:27" x14ac:dyDescent="0.2">
      <c r="A4" s="1" t="s">
        <v>4</v>
      </c>
      <c r="B4" s="22">
        <v>345</v>
      </c>
      <c r="C4" s="22"/>
      <c r="D4" s="22"/>
      <c r="E4" s="22"/>
      <c r="F4" s="22">
        <v>240</v>
      </c>
      <c r="G4" s="22"/>
      <c r="H4" s="22"/>
      <c r="I4" s="22"/>
      <c r="J4" s="22">
        <v>942</v>
      </c>
      <c r="K4" s="22"/>
      <c r="L4" s="22"/>
      <c r="M4" s="21"/>
      <c r="N4" s="22">
        <v>1001</v>
      </c>
      <c r="O4" s="22"/>
      <c r="P4" s="22"/>
      <c r="Q4" s="22"/>
      <c r="R4" s="22">
        <v>190</v>
      </c>
      <c r="S4" s="22"/>
      <c r="T4" s="22"/>
      <c r="U4" s="22"/>
      <c r="V4" s="22">
        <v>200</v>
      </c>
      <c r="W4" s="22"/>
      <c r="X4" s="22"/>
      <c r="Y4" s="21"/>
    </row>
    <row r="5" spans="1:27" x14ac:dyDescent="0.2">
      <c r="A5" s="1" t="s">
        <v>7</v>
      </c>
      <c r="B5" s="22">
        <v>380</v>
      </c>
      <c r="C5" s="22"/>
      <c r="D5" s="22"/>
      <c r="E5" s="22"/>
      <c r="F5" s="22">
        <v>450</v>
      </c>
      <c r="G5" s="22"/>
      <c r="H5" s="22"/>
      <c r="I5" s="22"/>
      <c r="J5" s="22">
        <v>1054</v>
      </c>
      <c r="K5" s="22"/>
      <c r="L5" s="22"/>
      <c r="M5" s="21"/>
      <c r="N5" s="22">
        <v>1298</v>
      </c>
      <c r="O5" s="22"/>
      <c r="P5" s="22"/>
      <c r="Q5" s="22"/>
      <c r="R5" s="22">
        <v>230</v>
      </c>
      <c r="S5" s="22"/>
      <c r="T5" s="22"/>
      <c r="U5" s="22"/>
      <c r="V5" s="22">
        <v>220</v>
      </c>
      <c r="W5" s="22"/>
      <c r="X5" s="22"/>
      <c r="Y5" s="21"/>
    </row>
    <row r="6" spans="1:27" x14ac:dyDescent="0.2">
      <c r="A6" s="1" t="s">
        <v>8</v>
      </c>
      <c r="B6" s="22">
        <v>490</v>
      </c>
      <c r="C6" s="22"/>
      <c r="D6" s="22"/>
      <c r="E6" s="22"/>
      <c r="F6" s="22">
        <v>560</v>
      </c>
      <c r="G6" s="22"/>
      <c r="H6" s="22"/>
      <c r="I6" s="22"/>
      <c r="J6" s="22">
        <v>1055</v>
      </c>
      <c r="K6" s="22"/>
      <c r="L6" s="22"/>
      <c r="M6" s="21"/>
      <c r="N6" s="22">
        <v>1532</v>
      </c>
      <c r="O6" s="22"/>
      <c r="P6" s="22"/>
      <c r="Q6" s="22"/>
      <c r="R6" s="22">
        <v>260</v>
      </c>
      <c r="S6" s="22"/>
      <c r="T6" s="22"/>
      <c r="U6" s="22"/>
      <c r="V6" s="22">
        <v>200</v>
      </c>
      <c r="W6" s="22"/>
      <c r="X6" s="22"/>
      <c r="Y6" s="21"/>
    </row>
    <row r="7" spans="1:27" x14ac:dyDescent="0.2">
      <c r="A7" s="1" t="s">
        <v>16</v>
      </c>
      <c r="B7" s="22">
        <v>415</v>
      </c>
      <c r="C7" s="22"/>
      <c r="D7" s="22"/>
      <c r="E7" s="22"/>
      <c r="F7" s="22">
        <v>430</v>
      </c>
      <c r="G7" s="22"/>
      <c r="H7" s="22"/>
      <c r="I7" s="22"/>
      <c r="J7" s="22">
        <v>1057</v>
      </c>
      <c r="K7" s="22"/>
      <c r="L7" s="22"/>
      <c r="M7" s="21"/>
      <c r="N7" s="22">
        <v>1485</v>
      </c>
      <c r="O7" s="22"/>
      <c r="P7" s="22"/>
      <c r="Q7" s="22"/>
      <c r="R7" s="22">
        <v>270</v>
      </c>
      <c r="S7" s="22"/>
      <c r="T7" s="22"/>
      <c r="U7" s="22"/>
      <c r="V7" s="22">
        <v>220</v>
      </c>
      <c r="W7" s="22"/>
      <c r="X7" s="22"/>
      <c r="Y7" s="21"/>
    </row>
    <row r="8" spans="1:27" x14ac:dyDescent="0.2">
      <c r="A8" s="1" t="s">
        <v>17</v>
      </c>
      <c r="B8" s="22">
        <v>360</v>
      </c>
      <c r="C8" s="22"/>
      <c r="D8" s="22"/>
      <c r="E8" s="22"/>
      <c r="F8" s="22">
        <v>425</v>
      </c>
      <c r="G8" s="22"/>
      <c r="H8" s="22"/>
      <c r="I8" s="22"/>
      <c r="J8" s="22">
        <v>969</v>
      </c>
      <c r="K8" s="22"/>
      <c r="L8" s="22"/>
      <c r="M8" s="21"/>
      <c r="N8" s="22">
        <v>1141</v>
      </c>
      <c r="O8" s="22"/>
      <c r="P8" s="22"/>
      <c r="Q8" s="22"/>
      <c r="R8" s="22">
        <v>230</v>
      </c>
      <c r="S8" s="22"/>
      <c r="T8" s="22"/>
      <c r="U8" s="22"/>
      <c r="V8" s="22">
        <v>230</v>
      </c>
      <c r="W8" s="22"/>
      <c r="X8" s="22"/>
      <c r="Y8" s="21"/>
    </row>
    <row r="9" spans="1:27" x14ac:dyDescent="0.2">
      <c r="A9" s="1" t="s">
        <v>18</v>
      </c>
      <c r="B9" s="22">
        <v>350</v>
      </c>
      <c r="C9" s="22"/>
      <c r="D9" s="22"/>
      <c r="E9" s="22"/>
      <c r="F9" s="22">
        <v>500</v>
      </c>
      <c r="G9" s="22"/>
      <c r="H9" s="22"/>
      <c r="I9" s="22"/>
      <c r="J9" s="22">
        <v>960</v>
      </c>
      <c r="K9" s="22"/>
      <c r="L9" s="22"/>
      <c r="M9" s="21"/>
      <c r="N9" s="22">
        <v>1038</v>
      </c>
      <c r="O9" s="22"/>
      <c r="P9" s="22"/>
      <c r="Q9" s="22"/>
      <c r="R9" s="22">
        <v>240</v>
      </c>
      <c r="S9" s="22"/>
      <c r="T9" s="22"/>
      <c r="U9" s="22"/>
      <c r="V9" s="22">
        <f>200</f>
        <v>200</v>
      </c>
      <c r="W9" s="22"/>
      <c r="X9" s="22"/>
      <c r="Y9" s="21"/>
    </row>
    <row r="10" spans="1:27" x14ac:dyDescent="0.2">
      <c r="A10" s="82" t="s">
        <v>19</v>
      </c>
      <c r="B10" s="86">
        <v>350</v>
      </c>
      <c r="C10" s="83"/>
      <c r="D10" s="83"/>
      <c r="E10" s="83"/>
      <c r="F10" s="86">
        <v>500</v>
      </c>
      <c r="G10" s="83"/>
      <c r="H10" s="22"/>
      <c r="I10" s="86"/>
      <c r="J10" s="86">
        <v>1850</v>
      </c>
      <c r="K10" s="83"/>
      <c r="L10" s="83"/>
      <c r="M10" s="185"/>
      <c r="N10" s="86">
        <v>818</v>
      </c>
      <c r="O10" s="83"/>
      <c r="P10" s="83"/>
      <c r="Q10" s="83"/>
      <c r="R10" s="86">
        <v>63</v>
      </c>
      <c r="S10" s="83"/>
      <c r="T10" s="22"/>
      <c r="U10" s="86"/>
      <c r="V10" s="86">
        <f>140+71</f>
        <v>211</v>
      </c>
      <c r="W10" s="83"/>
      <c r="X10" s="83"/>
      <c r="Y10" s="185"/>
    </row>
    <row r="11" spans="1:27" x14ac:dyDescent="0.2">
      <c r="A11" s="1" t="s">
        <v>10</v>
      </c>
      <c r="B11" s="22">
        <v>370</v>
      </c>
      <c r="C11" s="22"/>
      <c r="D11" s="22"/>
      <c r="E11" s="22"/>
      <c r="F11" s="22">
        <v>500</v>
      </c>
      <c r="G11" s="22"/>
      <c r="H11" s="22"/>
      <c r="I11" s="22"/>
      <c r="J11" s="22">
        <v>1665</v>
      </c>
      <c r="K11" s="22"/>
      <c r="L11" s="22"/>
      <c r="M11" s="21"/>
      <c r="N11" s="22">
        <v>786</v>
      </c>
      <c r="O11" s="22"/>
      <c r="P11" s="22"/>
      <c r="Q11" s="22"/>
      <c r="R11" s="86">
        <v>70</v>
      </c>
      <c r="S11" s="22"/>
      <c r="T11" s="22"/>
      <c r="U11" s="22"/>
      <c r="V11" s="86">
        <f>140+71</f>
        <v>211</v>
      </c>
      <c r="W11" s="22"/>
      <c r="X11" s="22"/>
      <c r="Y11" s="21"/>
    </row>
    <row r="12" spans="1:27" x14ac:dyDescent="0.2">
      <c r="A12" s="1" t="s">
        <v>11</v>
      </c>
      <c r="B12" s="22">
        <v>395</v>
      </c>
      <c r="C12" s="22"/>
      <c r="D12" s="22"/>
      <c r="E12" s="22"/>
      <c r="F12" s="22">
        <v>340</v>
      </c>
      <c r="G12" s="22"/>
      <c r="H12" s="22"/>
      <c r="I12" s="22"/>
      <c r="J12" s="22">
        <v>2984</v>
      </c>
      <c r="K12" s="22"/>
      <c r="L12" s="22"/>
      <c r="M12" s="21"/>
      <c r="N12" s="22">
        <v>1040</v>
      </c>
      <c r="O12" s="22"/>
      <c r="P12" s="22"/>
      <c r="Q12" s="22"/>
      <c r="R12" s="86">
        <v>87</v>
      </c>
      <c r="S12" s="22"/>
      <c r="T12" s="22"/>
      <c r="U12" s="22"/>
      <c r="V12" s="86">
        <f>140+71</f>
        <v>211</v>
      </c>
      <c r="W12" s="22"/>
      <c r="X12" s="22"/>
      <c r="Y12" s="21"/>
    </row>
    <row r="13" spans="1:27" x14ac:dyDescent="0.2">
      <c r="A13" s="1" t="s">
        <v>12</v>
      </c>
      <c r="B13" s="22">
        <v>480</v>
      </c>
      <c r="C13" s="22"/>
      <c r="D13" s="22"/>
      <c r="E13" s="22"/>
      <c r="F13" s="22">
        <v>435</v>
      </c>
      <c r="G13" s="22"/>
      <c r="H13" s="22"/>
      <c r="I13" s="22"/>
      <c r="J13" s="22">
        <v>2950</v>
      </c>
      <c r="K13" s="22"/>
      <c r="L13" s="22"/>
      <c r="M13" s="21"/>
      <c r="N13" s="22">
        <v>1121</v>
      </c>
      <c r="O13" s="22"/>
      <c r="P13" s="22"/>
      <c r="Q13" s="22"/>
      <c r="R13" s="22">
        <v>117</v>
      </c>
      <c r="S13" s="22"/>
      <c r="T13" s="22"/>
      <c r="U13" s="22"/>
      <c r="V13" s="22">
        <f>150+71</f>
        <v>221</v>
      </c>
      <c r="W13" s="22"/>
      <c r="X13" s="22"/>
      <c r="Y13" s="21"/>
    </row>
    <row r="14" spans="1:27" x14ac:dyDescent="0.2">
      <c r="A14" s="1" t="s">
        <v>13</v>
      </c>
      <c r="B14" s="22">
        <v>480</v>
      </c>
      <c r="C14" s="22"/>
      <c r="D14" s="22"/>
      <c r="E14" s="22"/>
      <c r="F14" s="22">
        <v>435</v>
      </c>
      <c r="G14" s="22"/>
      <c r="H14" s="22"/>
      <c r="I14" s="22"/>
      <c r="J14" s="22">
        <v>2822</v>
      </c>
      <c r="K14" s="22"/>
      <c r="L14" s="22"/>
      <c r="M14" s="21"/>
      <c r="N14" s="22">
        <v>1050</v>
      </c>
      <c r="O14" s="22"/>
      <c r="P14" s="22"/>
      <c r="Q14" s="22"/>
      <c r="R14" s="22">
        <v>121</v>
      </c>
      <c r="S14" s="22"/>
      <c r="T14" s="22"/>
      <c r="U14" s="22"/>
      <c r="V14" s="22">
        <f>150+71</f>
        <v>221</v>
      </c>
      <c r="W14" s="22"/>
      <c r="X14" s="22"/>
      <c r="Y14" s="21"/>
    </row>
    <row r="15" spans="1:27" x14ac:dyDescent="0.2">
      <c r="A15" s="1" t="s">
        <v>14</v>
      </c>
      <c r="B15" s="22">
        <v>481</v>
      </c>
      <c r="C15" s="22"/>
      <c r="D15" s="22"/>
      <c r="E15" s="22"/>
      <c r="F15" s="22">
        <v>435</v>
      </c>
      <c r="G15" s="22"/>
      <c r="H15" s="22"/>
      <c r="I15" s="22"/>
      <c r="J15" s="22">
        <v>2649</v>
      </c>
      <c r="K15" s="22"/>
      <c r="L15" s="22"/>
      <c r="M15" s="124"/>
      <c r="N15" s="22">
        <v>1032</v>
      </c>
      <c r="O15" s="22"/>
      <c r="P15" s="22"/>
      <c r="Q15" s="22"/>
      <c r="R15" s="22">
        <v>122</v>
      </c>
      <c r="S15" s="22"/>
      <c r="T15" s="22"/>
      <c r="U15" s="22"/>
      <c r="V15" s="22">
        <f>151+74</f>
        <v>225</v>
      </c>
      <c r="W15" s="22"/>
      <c r="X15" s="22"/>
      <c r="Y15" s="124"/>
    </row>
    <row r="16" spans="1:27" x14ac:dyDescent="0.2">
      <c r="A16" s="1" t="s">
        <v>6</v>
      </c>
      <c r="B16" s="22">
        <f>SUM(B4:B15)</f>
        <v>4896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>SUM(F4:F15)</f>
        <v>5250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>SUM(J4:J15)</f>
        <v>20957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Y16" si="1">SUM(N4:N15)</f>
        <v>13342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2000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2570</v>
      </c>
      <c r="W16" s="22">
        <f t="shared" si="1"/>
        <v>0</v>
      </c>
      <c r="X16" s="22">
        <f t="shared" si="1"/>
        <v>0</v>
      </c>
      <c r="Y16" s="22">
        <f t="shared" si="1"/>
        <v>0</v>
      </c>
    </row>
    <row r="17" spans="1:25" x14ac:dyDescent="0.2">
      <c r="A17" s="28" t="s">
        <v>28</v>
      </c>
      <c r="B17" s="30">
        <f t="shared" ref="B17:L17" si="2">B4+B5</f>
        <v>725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690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1996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2299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420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420</v>
      </c>
      <c r="W17" s="30">
        <f t="shared" si="3"/>
        <v>0</v>
      </c>
      <c r="X17" s="30">
        <f t="shared" si="3"/>
        <v>0</v>
      </c>
      <c r="Y17" s="30">
        <f t="shared" si="3"/>
        <v>0</v>
      </c>
    </row>
    <row r="18" spans="1:25" x14ac:dyDescent="0.2">
      <c r="A18" s="28"/>
      <c r="B18" s="30">
        <f t="shared" ref="B18:B27" si="4">B17+B6</f>
        <v>1215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1250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3051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3831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680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  <c r="V18" s="30">
        <f t="shared" ref="V18:V27" si="21">V17+V6</f>
        <v>620</v>
      </c>
      <c r="W18" s="30">
        <f t="shared" ref="W18:W27" si="22">W17+W6</f>
        <v>0</v>
      </c>
      <c r="X18" s="30">
        <f t="shared" ref="X18:X27" si="23">X17+X6</f>
        <v>0</v>
      </c>
      <c r="Y18" s="30">
        <f t="shared" ref="Y18:Y27" si="24">Y17+Y6</f>
        <v>0</v>
      </c>
    </row>
    <row r="19" spans="1:25" x14ac:dyDescent="0.2">
      <c r="A19" s="28" t="s">
        <v>29</v>
      </c>
      <c r="B19" s="30">
        <f t="shared" si="4"/>
        <v>1630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1680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4108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5316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950</v>
      </c>
      <c r="S19" s="30">
        <f t="shared" si="18"/>
        <v>0</v>
      </c>
      <c r="T19" s="30">
        <f t="shared" si="19"/>
        <v>0</v>
      </c>
      <c r="U19" s="30">
        <f t="shared" si="20"/>
        <v>0</v>
      </c>
      <c r="V19" s="30">
        <f t="shared" si="21"/>
        <v>840</v>
      </c>
      <c r="W19" s="30">
        <f t="shared" si="22"/>
        <v>0</v>
      </c>
      <c r="X19" s="30">
        <f t="shared" si="23"/>
        <v>0</v>
      </c>
      <c r="Y19" s="30">
        <f t="shared" si="24"/>
        <v>0</v>
      </c>
    </row>
    <row r="20" spans="1:25" x14ac:dyDescent="0.2">
      <c r="A20" s="28" t="s">
        <v>30</v>
      </c>
      <c r="B20" s="30">
        <f t="shared" si="4"/>
        <v>1990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2105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5077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6457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1180</v>
      </c>
      <c r="S20" s="30">
        <f t="shared" si="18"/>
        <v>0</v>
      </c>
      <c r="T20" s="30">
        <f t="shared" si="19"/>
        <v>0</v>
      </c>
      <c r="U20" s="30">
        <f t="shared" si="20"/>
        <v>0</v>
      </c>
      <c r="V20" s="30">
        <f t="shared" si="21"/>
        <v>1070</v>
      </c>
      <c r="W20" s="30">
        <f t="shared" si="22"/>
        <v>0</v>
      </c>
      <c r="X20" s="30">
        <f t="shared" si="23"/>
        <v>0</v>
      </c>
      <c r="Y20" s="30">
        <f t="shared" si="24"/>
        <v>0</v>
      </c>
    </row>
    <row r="21" spans="1:25" x14ac:dyDescent="0.2">
      <c r="A21" s="28" t="s">
        <v>31</v>
      </c>
      <c r="B21" s="30">
        <f t="shared" si="4"/>
        <v>2340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2605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6037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7495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1420</v>
      </c>
      <c r="S21" s="30">
        <f t="shared" si="18"/>
        <v>0</v>
      </c>
      <c r="T21" s="30">
        <f t="shared" si="19"/>
        <v>0</v>
      </c>
      <c r="U21" s="30">
        <f t="shared" si="20"/>
        <v>0</v>
      </c>
      <c r="V21" s="30">
        <f t="shared" si="21"/>
        <v>1270</v>
      </c>
      <c r="W21" s="30">
        <f t="shared" si="22"/>
        <v>0</v>
      </c>
      <c r="X21" s="30">
        <f t="shared" si="23"/>
        <v>0</v>
      </c>
      <c r="Y21" s="30">
        <f t="shared" si="24"/>
        <v>0</v>
      </c>
    </row>
    <row r="22" spans="1:25" x14ac:dyDescent="0.2">
      <c r="A22" s="28" t="s">
        <v>32</v>
      </c>
      <c r="B22" s="30">
        <f t="shared" si="4"/>
        <v>2690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3105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7887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8313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1483</v>
      </c>
      <c r="S22" s="30">
        <f t="shared" si="18"/>
        <v>0</v>
      </c>
      <c r="T22" s="30">
        <f t="shared" si="19"/>
        <v>0</v>
      </c>
      <c r="U22" s="30">
        <f t="shared" si="20"/>
        <v>0</v>
      </c>
      <c r="V22" s="30">
        <f t="shared" si="21"/>
        <v>1481</v>
      </c>
      <c r="W22" s="30">
        <f t="shared" si="22"/>
        <v>0</v>
      </c>
      <c r="X22" s="30">
        <f t="shared" si="23"/>
        <v>0</v>
      </c>
      <c r="Y22" s="30">
        <f t="shared" si="24"/>
        <v>0</v>
      </c>
    </row>
    <row r="23" spans="1:25" x14ac:dyDescent="0.2">
      <c r="A23" s="28" t="s">
        <v>33</v>
      </c>
      <c r="B23" s="30">
        <f t="shared" si="4"/>
        <v>3060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3605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9552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9099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1553</v>
      </c>
      <c r="S23" s="30">
        <f t="shared" si="18"/>
        <v>0</v>
      </c>
      <c r="T23" s="30">
        <f t="shared" si="19"/>
        <v>0</v>
      </c>
      <c r="U23" s="30">
        <f t="shared" si="20"/>
        <v>0</v>
      </c>
      <c r="V23" s="30">
        <f t="shared" si="21"/>
        <v>1692</v>
      </c>
      <c r="W23" s="30">
        <f t="shared" si="22"/>
        <v>0</v>
      </c>
      <c r="X23" s="30">
        <f t="shared" si="23"/>
        <v>0</v>
      </c>
      <c r="Y23" s="30">
        <f t="shared" si="24"/>
        <v>0</v>
      </c>
    </row>
    <row r="24" spans="1:25" x14ac:dyDescent="0.2">
      <c r="A24" s="28" t="s">
        <v>34</v>
      </c>
      <c r="B24" s="30">
        <f t="shared" si="4"/>
        <v>3455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3945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12536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10139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1640</v>
      </c>
      <c r="S24" s="30">
        <f t="shared" si="18"/>
        <v>0</v>
      </c>
      <c r="T24" s="30">
        <f t="shared" si="19"/>
        <v>0</v>
      </c>
      <c r="U24" s="30">
        <f t="shared" si="20"/>
        <v>0</v>
      </c>
      <c r="V24" s="30">
        <f t="shared" si="21"/>
        <v>1903</v>
      </c>
      <c r="W24" s="30">
        <f t="shared" si="22"/>
        <v>0</v>
      </c>
      <c r="X24" s="30">
        <f t="shared" si="23"/>
        <v>0</v>
      </c>
      <c r="Y24" s="30">
        <f t="shared" si="24"/>
        <v>0</v>
      </c>
    </row>
    <row r="25" spans="1:25" x14ac:dyDescent="0.2">
      <c r="A25" s="29" t="s">
        <v>35</v>
      </c>
      <c r="B25" s="31">
        <f t="shared" si="4"/>
        <v>3935</v>
      </c>
      <c r="C25" s="31">
        <f t="shared" si="5"/>
        <v>0</v>
      </c>
      <c r="D25" s="31">
        <f t="shared" si="6"/>
        <v>0</v>
      </c>
      <c r="E25" s="31">
        <f t="shared" si="6"/>
        <v>0</v>
      </c>
      <c r="F25" s="31">
        <f t="shared" si="7"/>
        <v>4380</v>
      </c>
      <c r="G25" s="31">
        <f t="shared" si="8"/>
        <v>0</v>
      </c>
      <c r="H25" s="31">
        <f t="shared" si="9"/>
        <v>0</v>
      </c>
      <c r="I25" s="31">
        <f t="shared" si="9"/>
        <v>0</v>
      </c>
      <c r="J25" s="31">
        <f t="shared" si="10"/>
        <v>15486</v>
      </c>
      <c r="K25" s="31">
        <f t="shared" si="11"/>
        <v>0</v>
      </c>
      <c r="L25" s="31">
        <f t="shared" si="12"/>
        <v>0</v>
      </c>
      <c r="M25" s="31">
        <f t="shared" si="12"/>
        <v>0</v>
      </c>
      <c r="N25" s="31">
        <f t="shared" si="13"/>
        <v>11260</v>
      </c>
      <c r="O25" s="31">
        <f t="shared" si="14"/>
        <v>0</v>
      </c>
      <c r="P25" s="31">
        <f t="shared" si="15"/>
        <v>0</v>
      </c>
      <c r="Q25" s="31">
        <f t="shared" si="16"/>
        <v>0</v>
      </c>
      <c r="R25" s="31">
        <f t="shared" si="17"/>
        <v>1757</v>
      </c>
      <c r="S25" s="31">
        <f t="shared" si="18"/>
        <v>0</v>
      </c>
      <c r="T25" s="31">
        <f t="shared" si="19"/>
        <v>0</v>
      </c>
      <c r="U25" s="31">
        <f t="shared" si="20"/>
        <v>0</v>
      </c>
      <c r="V25" s="31">
        <f t="shared" si="21"/>
        <v>2124</v>
      </c>
      <c r="W25" s="31">
        <f t="shared" si="22"/>
        <v>0</v>
      </c>
      <c r="X25" s="31">
        <f t="shared" si="23"/>
        <v>0</v>
      </c>
      <c r="Y25" s="31">
        <f t="shared" si="24"/>
        <v>0</v>
      </c>
    </row>
    <row r="26" spans="1:25" x14ac:dyDescent="0.2">
      <c r="A26" s="29" t="s">
        <v>36</v>
      </c>
      <c r="B26" s="31">
        <f t="shared" si="4"/>
        <v>4415</v>
      </c>
      <c r="C26" s="31">
        <f t="shared" si="5"/>
        <v>0</v>
      </c>
      <c r="D26" s="31">
        <f t="shared" si="6"/>
        <v>0</v>
      </c>
      <c r="E26" s="31">
        <f t="shared" si="6"/>
        <v>0</v>
      </c>
      <c r="F26" s="31">
        <f t="shared" si="7"/>
        <v>4815</v>
      </c>
      <c r="G26" s="31">
        <f t="shared" si="8"/>
        <v>0</v>
      </c>
      <c r="H26" s="31">
        <f t="shared" si="9"/>
        <v>0</v>
      </c>
      <c r="I26" s="31">
        <f t="shared" si="9"/>
        <v>0</v>
      </c>
      <c r="J26" s="31">
        <f t="shared" si="10"/>
        <v>18308</v>
      </c>
      <c r="K26" s="31">
        <f t="shared" si="11"/>
        <v>0</v>
      </c>
      <c r="L26" s="31">
        <f t="shared" si="12"/>
        <v>0</v>
      </c>
      <c r="M26" s="31">
        <f t="shared" si="12"/>
        <v>0</v>
      </c>
      <c r="N26" s="31">
        <f t="shared" si="13"/>
        <v>12310</v>
      </c>
      <c r="O26" s="31">
        <f t="shared" si="14"/>
        <v>0</v>
      </c>
      <c r="P26" s="31">
        <f t="shared" si="15"/>
        <v>0</v>
      </c>
      <c r="Q26" s="31">
        <f t="shared" si="16"/>
        <v>0</v>
      </c>
      <c r="R26" s="31">
        <f t="shared" si="17"/>
        <v>1878</v>
      </c>
      <c r="S26" s="31">
        <f t="shared" si="18"/>
        <v>0</v>
      </c>
      <c r="T26" s="31">
        <f t="shared" si="19"/>
        <v>0</v>
      </c>
      <c r="U26" s="31">
        <f t="shared" si="20"/>
        <v>0</v>
      </c>
      <c r="V26" s="31">
        <f t="shared" si="21"/>
        <v>2345</v>
      </c>
      <c r="W26" s="31">
        <f t="shared" si="22"/>
        <v>0</v>
      </c>
      <c r="X26" s="31">
        <f t="shared" si="23"/>
        <v>0</v>
      </c>
      <c r="Y26" s="31">
        <f t="shared" si="24"/>
        <v>0</v>
      </c>
    </row>
    <row r="27" spans="1:25" x14ac:dyDescent="0.2">
      <c r="A27" s="12" t="s">
        <v>15</v>
      </c>
      <c r="B27" s="32">
        <f t="shared" si="4"/>
        <v>4896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5250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20957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13342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2000</v>
      </c>
      <c r="S27" s="32">
        <f t="shared" si="18"/>
        <v>0</v>
      </c>
      <c r="T27" s="32">
        <f t="shared" si="19"/>
        <v>0</v>
      </c>
      <c r="U27" s="32">
        <f t="shared" si="20"/>
        <v>0</v>
      </c>
      <c r="V27" s="32">
        <f t="shared" si="21"/>
        <v>2570</v>
      </c>
      <c r="W27" s="32">
        <f t="shared" si="22"/>
        <v>0</v>
      </c>
      <c r="X27" s="32">
        <f t="shared" si="23"/>
        <v>0</v>
      </c>
      <c r="Y27" s="32">
        <f t="shared" si="24"/>
        <v>0</v>
      </c>
    </row>
  </sheetData>
  <mergeCells count="12">
    <mergeCell ref="N1:Q1"/>
    <mergeCell ref="R1:U1"/>
    <mergeCell ref="V1:Y1"/>
    <mergeCell ref="O2:Q2"/>
    <mergeCell ref="S2:U2"/>
    <mergeCell ref="W2:Y2"/>
    <mergeCell ref="J1:M1"/>
    <mergeCell ref="C2:E2"/>
    <mergeCell ref="G2:I2"/>
    <mergeCell ref="K2:M2"/>
    <mergeCell ref="B1:E1"/>
    <mergeCell ref="F1:I1"/>
  </mergeCells>
  <phoneticPr fontId="0" type="noConversion"/>
  <pageMargins left="0" right="0.78740157480314965" top="0" bottom="0" header="0" footer="0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workbookViewId="0">
      <pane xSplit="1" ySplit="3" topLeftCell="G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5" x14ac:dyDescent="0.2">
      <c r="A1" s="2"/>
      <c r="B1" s="365" t="s">
        <v>0</v>
      </c>
      <c r="C1" s="365"/>
      <c r="D1" s="365"/>
      <c r="E1" s="117"/>
      <c r="F1" s="359" t="s">
        <v>1</v>
      </c>
      <c r="G1" s="358"/>
      <c r="H1" s="358"/>
      <c r="I1" s="20"/>
      <c r="J1" s="19"/>
      <c r="K1" s="24" t="s">
        <v>2</v>
      </c>
      <c r="L1" s="25"/>
      <c r="N1" s="365" t="s">
        <v>185</v>
      </c>
      <c r="O1" s="365"/>
      <c r="P1" s="365"/>
      <c r="Q1" s="117"/>
      <c r="R1" s="359" t="s">
        <v>193</v>
      </c>
      <c r="S1" s="358"/>
      <c r="T1" s="358"/>
      <c r="U1" s="20"/>
      <c r="V1" s="19"/>
      <c r="W1" s="24" t="s">
        <v>188</v>
      </c>
      <c r="X1" s="25"/>
    </row>
    <row r="2" spans="1:25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7" t="s">
        <v>6</v>
      </c>
      <c r="K2" s="359" t="s">
        <v>25</v>
      </c>
      <c r="L2" s="358"/>
      <c r="M2" s="362"/>
      <c r="N2" s="6" t="s">
        <v>6</v>
      </c>
      <c r="O2" s="359" t="s">
        <v>25</v>
      </c>
      <c r="P2" s="358"/>
      <c r="Q2" s="362"/>
      <c r="R2" s="6" t="s">
        <v>6</v>
      </c>
      <c r="S2" s="359" t="s">
        <v>25</v>
      </c>
      <c r="T2" s="358"/>
      <c r="U2" s="362"/>
      <c r="V2" s="7" t="s">
        <v>6</v>
      </c>
      <c r="W2" s="359" t="s">
        <v>25</v>
      </c>
      <c r="X2" s="358"/>
      <c r="Y2" s="362"/>
    </row>
    <row r="3" spans="1:25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9"/>
      <c r="O3" s="17" t="s">
        <v>27</v>
      </c>
      <c r="P3" s="15" t="s">
        <v>26</v>
      </c>
      <c r="Q3" s="115" t="s">
        <v>105</v>
      </c>
      <c r="R3" s="9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</row>
    <row r="4" spans="1:25" x14ac:dyDescent="0.2">
      <c r="A4" s="1" t="s">
        <v>4</v>
      </c>
      <c r="B4" s="22">
        <v>272</v>
      </c>
      <c r="C4" s="22"/>
      <c r="D4" s="22"/>
      <c r="E4" s="22"/>
      <c r="F4" s="22">
        <v>380</v>
      </c>
      <c r="G4" s="22"/>
      <c r="H4" s="22"/>
      <c r="I4" s="22"/>
      <c r="J4" s="22">
        <v>670</v>
      </c>
      <c r="K4" s="22"/>
      <c r="L4" s="22"/>
      <c r="M4" s="22"/>
      <c r="N4" s="22">
        <v>808</v>
      </c>
      <c r="O4" s="22"/>
      <c r="P4" s="22"/>
      <c r="Q4" s="22"/>
      <c r="R4" s="22"/>
      <c r="S4" s="22"/>
      <c r="T4" s="22"/>
      <c r="U4" s="22"/>
      <c r="V4" s="22">
        <v>166</v>
      </c>
      <c r="W4" s="22"/>
      <c r="X4" s="22"/>
      <c r="Y4" s="22"/>
    </row>
    <row r="5" spans="1:25" x14ac:dyDescent="0.2">
      <c r="A5" s="1" t="s">
        <v>7</v>
      </c>
      <c r="B5" s="22">
        <v>272</v>
      </c>
      <c r="C5" s="22"/>
      <c r="D5" s="22"/>
      <c r="E5" s="22"/>
      <c r="F5" s="22">
        <v>380</v>
      </c>
      <c r="G5" s="22"/>
      <c r="H5" s="22"/>
      <c r="I5" s="22"/>
      <c r="J5" s="22">
        <v>670</v>
      </c>
      <c r="K5" s="22"/>
      <c r="L5" s="22"/>
      <c r="M5" s="22"/>
      <c r="N5" s="22">
        <v>808</v>
      </c>
      <c r="O5" s="22"/>
      <c r="P5" s="22"/>
      <c r="Q5" s="22"/>
      <c r="R5" s="22"/>
      <c r="S5" s="22"/>
      <c r="T5" s="22"/>
      <c r="U5" s="22"/>
      <c r="V5" s="22">
        <v>166</v>
      </c>
      <c r="W5" s="22"/>
      <c r="X5" s="22"/>
      <c r="Y5" s="22"/>
    </row>
    <row r="6" spans="1:25" x14ac:dyDescent="0.2">
      <c r="A6" s="1" t="s">
        <v>8</v>
      </c>
      <c r="B6" s="22">
        <v>272</v>
      </c>
      <c r="C6" s="22"/>
      <c r="D6" s="22"/>
      <c r="E6" s="22"/>
      <c r="F6" s="22">
        <v>380</v>
      </c>
      <c r="G6" s="22"/>
      <c r="H6" s="22"/>
      <c r="I6" s="22"/>
      <c r="J6" s="22">
        <v>670</v>
      </c>
      <c r="K6" s="22"/>
      <c r="L6" s="22"/>
      <c r="M6" s="22"/>
      <c r="N6" s="22">
        <v>808</v>
      </c>
      <c r="O6" s="22"/>
      <c r="P6" s="22"/>
      <c r="Q6" s="22"/>
      <c r="R6" s="22">
        <v>53</v>
      </c>
      <c r="S6" s="22"/>
      <c r="T6" s="22"/>
      <c r="U6" s="22"/>
      <c r="V6" s="22">
        <v>166</v>
      </c>
      <c r="W6" s="22"/>
      <c r="X6" s="22"/>
      <c r="Y6" s="22"/>
    </row>
    <row r="7" spans="1:25" x14ac:dyDescent="0.2">
      <c r="A7" s="1" t="s">
        <v>16</v>
      </c>
      <c r="B7" s="22">
        <v>272</v>
      </c>
      <c r="C7" s="22"/>
      <c r="D7" s="22"/>
      <c r="E7" s="22"/>
      <c r="F7" s="22">
        <v>380</v>
      </c>
      <c r="G7" s="22"/>
      <c r="H7" s="22"/>
      <c r="I7" s="22"/>
      <c r="J7" s="22">
        <v>670</v>
      </c>
      <c r="K7" s="22"/>
      <c r="L7" s="22"/>
      <c r="M7" s="22"/>
      <c r="N7" s="22">
        <v>808</v>
      </c>
      <c r="O7" s="22"/>
      <c r="P7" s="22"/>
      <c r="Q7" s="22"/>
      <c r="R7" s="22">
        <v>53</v>
      </c>
      <c r="S7" s="22"/>
      <c r="T7" s="22"/>
      <c r="U7" s="22"/>
      <c r="V7" s="22">
        <v>166</v>
      </c>
      <c r="W7" s="22"/>
      <c r="X7" s="22"/>
      <c r="Y7" s="22"/>
    </row>
    <row r="8" spans="1:25" x14ac:dyDescent="0.2">
      <c r="A8" s="1" t="s">
        <v>17</v>
      </c>
      <c r="B8" s="22">
        <v>272</v>
      </c>
      <c r="C8" s="22"/>
      <c r="D8" s="22"/>
      <c r="E8" s="22"/>
      <c r="F8" s="22">
        <v>380</v>
      </c>
      <c r="G8" s="22"/>
      <c r="H8" s="22"/>
      <c r="I8" s="22"/>
      <c r="J8" s="22">
        <v>670</v>
      </c>
      <c r="K8" s="22"/>
      <c r="L8" s="22"/>
      <c r="M8" s="22"/>
      <c r="N8" s="22">
        <v>808</v>
      </c>
      <c r="O8" s="22"/>
      <c r="P8" s="22"/>
      <c r="Q8" s="22"/>
      <c r="R8" s="22">
        <v>53</v>
      </c>
      <c r="S8" s="22"/>
      <c r="T8" s="22"/>
      <c r="U8" s="22"/>
      <c r="V8" s="22">
        <v>166</v>
      </c>
      <c r="W8" s="22"/>
      <c r="X8" s="22"/>
      <c r="Y8" s="22"/>
    </row>
    <row r="9" spans="1:25" x14ac:dyDescent="0.2">
      <c r="A9" s="1" t="s">
        <v>18</v>
      </c>
      <c r="B9" s="22">
        <v>272</v>
      </c>
      <c r="C9" s="22"/>
      <c r="D9" s="22"/>
      <c r="E9" s="22"/>
      <c r="F9" s="22">
        <v>380</v>
      </c>
      <c r="G9" s="22"/>
      <c r="H9" s="22"/>
      <c r="I9" s="22"/>
      <c r="J9" s="22">
        <v>670</v>
      </c>
      <c r="K9" s="22"/>
      <c r="L9" s="22"/>
      <c r="M9" s="22"/>
      <c r="N9" s="22">
        <v>808</v>
      </c>
      <c r="O9" s="22"/>
      <c r="P9" s="22"/>
      <c r="Q9" s="22"/>
      <c r="R9" s="22">
        <v>53</v>
      </c>
      <c r="S9" s="22"/>
      <c r="T9" s="22"/>
      <c r="U9" s="22"/>
      <c r="V9" s="22">
        <v>166</v>
      </c>
      <c r="W9" s="22"/>
      <c r="X9" s="22"/>
      <c r="Y9" s="22"/>
    </row>
    <row r="10" spans="1:25" x14ac:dyDescent="0.2">
      <c r="A10" s="82" t="s">
        <v>19</v>
      </c>
      <c r="B10" s="22">
        <v>272</v>
      </c>
      <c r="C10" s="22"/>
      <c r="D10" s="22"/>
      <c r="E10" s="22"/>
      <c r="F10" s="22">
        <v>328</v>
      </c>
      <c r="G10" s="22"/>
      <c r="H10" s="22"/>
      <c r="I10" s="22"/>
      <c r="J10" s="22">
        <v>2931</v>
      </c>
      <c r="K10" s="22"/>
      <c r="L10" s="22"/>
      <c r="M10" s="22"/>
      <c r="N10" s="22">
        <v>345</v>
      </c>
      <c r="O10" s="22"/>
      <c r="P10" s="22"/>
      <c r="Q10" s="22"/>
      <c r="R10" s="22">
        <v>53</v>
      </c>
      <c r="S10" s="22"/>
      <c r="T10" s="22"/>
      <c r="U10" s="22"/>
      <c r="V10" s="22">
        <f>151+16</f>
        <v>167</v>
      </c>
      <c r="W10" s="22"/>
      <c r="X10" s="22"/>
      <c r="Y10" s="22"/>
    </row>
    <row r="11" spans="1:25" x14ac:dyDescent="0.2">
      <c r="A11" s="1" t="s">
        <v>10</v>
      </c>
      <c r="B11" s="22">
        <v>272</v>
      </c>
      <c r="C11" s="22"/>
      <c r="D11" s="22"/>
      <c r="E11" s="22"/>
      <c r="F11" s="22">
        <v>328</v>
      </c>
      <c r="G11" s="22"/>
      <c r="H11" s="22"/>
      <c r="I11" s="22"/>
      <c r="J11" s="22">
        <v>2931</v>
      </c>
      <c r="K11" s="22"/>
      <c r="L11" s="22"/>
      <c r="M11" s="22"/>
      <c r="N11" s="22">
        <v>345</v>
      </c>
      <c r="O11" s="22"/>
      <c r="P11" s="22"/>
      <c r="Q11" s="22"/>
      <c r="R11" s="22">
        <v>53</v>
      </c>
      <c r="S11" s="22"/>
      <c r="T11" s="22"/>
      <c r="U11" s="22"/>
      <c r="V11" s="22">
        <f>151+16</f>
        <v>167</v>
      </c>
      <c r="W11" s="22"/>
      <c r="X11" s="22"/>
      <c r="Y11" s="22"/>
    </row>
    <row r="12" spans="1:25" x14ac:dyDescent="0.2">
      <c r="A12" s="1" t="s">
        <v>11</v>
      </c>
      <c r="B12" s="22">
        <v>272</v>
      </c>
      <c r="C12" s="22"/>
      <c r="D12" s="22"/>
      <c r="E12" s="22"/>
      <c r="F12" s="22">
        <v>328</v>
      </c>
      <c r="G12" s="22"/>
      <c r="H12" s="22"/>
      <c r="I12" s="22"/>
      <c r="J12" s="22">
        <v>2931</v>
      </c>
      <c r="K12" s="22"/>
      <c r="L12" s="22"/>
      <c r="M12" s="22"/>
      <c r="N12" s="22">
        <v>345</v>
      </c>
      <c r="O12" s="22"/>
      <c r="P12" s="22"/>
      <c r="Q12" s="22"/>
      <c r="R12" s="22">
        <v>53</v>
      </c>
      <c r="S12" s="22"/>
      <c r="T12" s="22"/>
      <c r="U12" s="22"/>
      <c r="V12" s="22">
        <f>151+16</f>
        <v>167</v>
      </c>
      <c r="W12" s="22"/>
      <c r="X12" s="22"/>
      <c r="Y12" s="22"/>
    </row>
    <row r="13" spans="1:25" x14ac:dyDescent="0.2">
      <c r="A13" s="1" t="s">
        <v>12</v>
      </c>
      <c r="B13" s="22">
        <v>273</v>
      </c>
      <c r="C13" s="22"/>
      <c r="D13" s="22"/>
      <c r="E13" s="22"/>
      <c r="F13" s="22">
        <v>328</v>
      </c>
      <c r="G13" s="22"/>
      <c r="H13" s="22"/>
      <c r="I13" s="22"/>
      <c r="J13" s="22">
        <v>2931</v>
      </c>
      <c r="K13" s="22"/>
      <c r="L13" s="22"/>
      <c r="M13" s="22"/>
      <c r="N13" s="22">
        <v>345</v>
      </c>
      <c r="O13" s="22"/>
      <c r="P13" s="22"/>
      <c r="Q13" s="22"/>
      <c r="R13" s="22">
        <v>53</v>
      </c>
      <c r="S13" s="22"/>
      <c r="T13" s="22"/>
      <c r="U13" s="22"/>
      <c r="V13" s="22">
        <f>151+16</f>
        <v>167</v>
      </c>
      <c r="W13" s="22"/>
      <c r="X13" s="22"/>
      <c r="Y13" s="22"/>
    </row>
    <row r="14" spans="1:25" x14ac:dyDescent="0.2">
      <c r="A14" s="1" t="s">
        <v>13</v>
      </c>
      <c r="B14" s="22">
        <v>273</v>
      </c>
      <c r="C14" s="22"/>
      <c r="D14" s="22"/>
      <c r="E14" s="22"/>
      <c r="F14" s="22">
        <v>328</v>
      </c>
      <c r="G14" s="22"/>
      <c r="H14" s="22"/>
      <c r="I14" s="22"/>
      <c r="J14" s="22">
        <v>2931</v>
      </c>
      <c r="K14" s="22"/>
      <c r="L14" s="22"/>
      <c r="M14" s="22"/>
      <c r="N14" s="22">
        <v>345</v>
      </c>
      <c r="O14" s="22"/>
      <c r="P14" s="22"/>
      <c r="Q14" s="22"/>
      <c r="R14" s="22">
        <v>53</v>
      </c>
      <c r="S14" s="22"/>
      <c r="T14" s="22"/>
      <c r="U14" s="22"/>
      <c r="V14" s="22">
        <f>151+16</f>
        <v>167</v>
      </c>
      <c r="W14" s="22"/>
      <c r="X14" s="22"/>
      <c r="Y14" s="22"/>
    </row>
    <row r="15" spans="1:25" x14ac:dyDescent="0.2">
      <c r="A15" s="1" t="s">
        <v>14</v>
      </c>
      <c r="B15" s="22">
        <v>306</v>
      </c>
      <c r="C15" s="22"/>
      <c r="D15" s="22"/>
      <c r="E15" s="22"/>
      <c r="F15" s="22">
        <v>330</v>
      </c>
      <c r="G15" s="22"/>
      <c r="H15" s="22"/>
      <c r="I15" s="22"/>
      <c r="J15" s="22">
        <v>2962</v>
      </c>
      <c r="K15" s="22"/>
      <c r="L15" s="22"/>
      <c r="M15" s="22"/>
      <c r="N15" s="22">
        <v>357</v>
      </c>
      <c r="O15" s="22"/>
      <c r="P15" s="22"/>
      <c r="Q15" s="22"/>
      <c r="R15" s="22">
        <v>57</v>
      </c>
      <c r="S15" s="22"/>
      <c r="T15" s="22"/>
      <c r="U15" s="22"/>
      <c r="V15" s="22">
        <f>155+14</f>
        <v>169</v>
      </c>
      <c r="W15" s="22"/>
      <c r="X15" s="22"/>
      <c r="Y15" s="22"/>
    </row>
    <row r="16" spans="1:25" x14ac:dyDescent="0.2">
      <c r="A16" s="1" t="s">
        <v>6</v>
      </c>
      <c r="B16" s="22">
        <f>SUM(B4:B15)</f>
        <v>3300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83">
        <f t="shared" si="0"/>
        <v>4250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21637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Y16" si="1">SUM(N4:N15)</f>
        <v>6930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83">
        <f t="shared" si="1"/>
        <v>534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2000</v>
      </c>
      <c r="W16" s="22">
        <f t="shared" si="1"/>
        <v>0</v>
      </c>
      <c r="X16" s="22">
        <f t="shared" si="1"/>
        <v>0</v>
      </c>
      <c r="Y16" s="22">
        <f t="shared" si="1"/>
        <v>0</v>
      </c>
    </row>
    <row r="17" spans="1:25" x14ac:dyDescent="0.2">
      <c r="A17" s="28" t="s">
        <v>28</v>
      </c>
      <c r="B17" s="30">
        <f>B4+B5</f>
        <v>544</v>
      </c>
      <c r="C17" s="30">
        <f t="shared" ref="C17:L17" si="2">C4+C5</f>
        <v>0</v>
      </c>
      <c r="D17" s="30">
        <f t="shared" si="2"/>
        <v>0</v>
      </c>
      <c r="E17" s="30">
        <f>E4+E5</f>
        <v>0</v>
      </c>
      <c r="F17" s="30">
        <f t="shared" si="2"/>
        <v>760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1340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1616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332</v>
      </c>
      <c r="W17" s="30">
        <f t="shared" si="3"/>
        <v>0</v>
      </c>
      <c r="X17" s="30">
        <f t="shared" si="3"/>
        <v>0</v>
      </c>
      <c r="Y17" s="30">
        <f t="shared" si="3"/>
        <v>0</v>
      </c>
    </row>
    <row r="18" spans="1:25" x14ac:dyDescent="0.2">
      <c r="A18" s="28" t="s">
        <v>100</v>
      </c>
      <c r="B18" s="30">
        <f t="shared" ref="B18:B27" si="4">B17+B6</f>
        <v>816</v>
      </c>
      <c r="C18" s="30">
        <f t="shared" ref="C18:M18" si="5">C17+C6</f>
        <v>0</v>
      </c>
      <c r="D18" s="30">
        <f t="shared" si="5"/>
        <v>0</v>
      </c>
      <c r="E18" s="30">
        <f t="shared" si="5"/>
        <v>0</v>
      </c>
      <c r="F18" s="30">
        <f t="shared" si="5"/>
        <v>1140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2010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ref="N18:N27" si="6">N17+N6</f>
        <v>2424</v>
      </c>
      <c r="O18" s="30">
        <f t="shared" ref="O18:O27" si="7">O17+O6</f>
        <v>0</v>
      </c>
      <c r="P18" s="30">
        <f t="shared" ref="P18:P27" si="8">P17+P6</f>
        <v>0</v>
      </c>
      <c r="Q18" s="30">
        <f t="shared" ref="Q18:Q27" si="9">Q17+Q6</f>
        <v>0</v>
      </c>
      <c r="R18" s="30">
        <f t="shared" ref="R18:R27" si="10">R17+R6</f>
        <v>53</v>
      </c>
      <c r="S18" s="30">
        <f t="shared" ref="S18:S27" si="11">S17+S6</f>
        <v>0</v>
      </c>
      <c r="T18" s="30">
        <f t="shared" ref="T18:T27" si="12">T17+T6</f>
        <v>0</v>
      </c>
      <c r="U18" s="30">
        <f t="shared" ref="U18:U27" si="13">U17+U6</f>
        <v>0</v>
      </c>
      <c r="V18" s="30">
        <f t="shared" ref="V18:V27" si="14">V17+V6</f>
        <v>498</v>
      </c>
      <c r="W18" s="30">
        <f t="shared" ref="W18:W27" si="15">W17+W6</f>
        <v>0</v>
      </c>
      <c r="X18" s="30">
        <f t="shared" ref="X18:X27" si="16">X17+X6</f>
        <v>0</v>
      </c>
      <c r="Y18" s="30">
        <f t="shared" ref="Y18:Y27" si="17">Y17+Y6</f>
        <v>0</v>
      </c>
    </row>
    <row r="19" spans="1:25" x14ac:dyDescent="0.2">
      <c r="A19" s="28" t="s">
        <v>29</v>
      </c>
      <c r="B19" s="30">
        <f t="shared" si="4"/>
        <v>1088</v>
      </c>
      <c r="C19" s="30">
        <f t="shared" ref="C19:M19" si="18">C18+C7</f>
        <v>0</v>
      </c>
      <c r="D19" s="30">
        <f t="shared" si="18"/>
        <v>0</v>
      </c>
      <c r="E19" s="30">
        <f t="shared" si="18"/>
        <v>0</v>
      </c>
      <c r="F19" s="30">
        <f t="shared" si="18"/>
        <v>1520</v>
      </c>
      <c r="G19" s="30">
        <f t="shared" si="18"/>
        <v>0</v>
      </c>
      <c r="H19" s="30">
        <f t="shared" si="18"/>
        <v>0</v>
      </c>
      <c r="I19" s="30">
        <f t="shared" si="18"/>
        <v>0</v>
      </c>
      <c r="J19" s="30">
        <f t="shared" si="18"/>
        <v>2680</v>
      </c>
      <c r="K19" s="30">
        <f t="shared" si="18"/>
        <v>0</v>
      </c>
      <c r="L19" s="30">
        <f t="shared" si="18"/>
        <v>0</v>
      </c>
      <c r="M19" s="30">
        <f t="shared" si="18"/>
        <v>0</v>
      </c>
      <c r="N19" s="30">
        <f t="shared" si="6"/>
        <v>3232</v>
      </c>
      <c r="O19" s="30">
        <f t="shared" si="7"/>
        <v>0</v>
      </c>
      <c r="P19" s="30">
        <f t="shared" si="8"/>
        <v>0</v>
      </c>
      <c r="Q19" s="30">
        <f t="shared" si="9"/>
        <v>0</v>
      </c>
      <c r="R19" s="30">
        <f t="shared" si="10"/>
        <v>106</v>
      </c>
      <c r="S19" s="30">
        <f t="shared" si="11"/>
        <v>0</v>
      </c>
      <c r="T19" s="30">
        <f t="shared" si="12"/>
        <v>0</v>
      </c>
      <c r="U19" s="30">
        <f t="shared" si="13"/>
        <v>0</v>
      </c>
      <c r="V19" s="30">
        <f t="shared" si="14"/>
        <v>664</v>
      </c>
      <c r="W19" s="30">
        <f t="shared" si="15"/>
        <v>0</v>
      </c>
      <c r="X19" s="30">
        <f t="shared" si="16"/>
        <v>0</v>
      </c>
      <c r="Y19" s="30">
        <f t="shared" si="17"/>
        <v>0</v>
      </c>
    </row>
    <row r="20" spans="1:25" x14ac:dyDescent="0.2">
      <c r="A20" s="28" t="s">
        <v>30</v>
      </c>
      <c r="B20" s="30">
        <f t="shared" si="4"/>
        <v>1360</v>
      </c>
      <c r="C20" s="30">
        <f t="shared" ref="C20:M20" si="19">C19+C8</f>
        <v>0</v>
      </c>
      <c r="D20" s="30">
        <f t="shared" si="19"/>
        <v>0</v>
      </c>
      <c r="E20" s="30">
        <f t="shared" si="19"/>
        <v>0</v>
      </c>
      <c r="F20" s="30">
        <f t="shared" si="19"/>
        <v>1900</v>
      </c>
      <c r="G20" s="30">
        <f t="shared" si="19"/>
        <v>0</v>
      </c>
      <c r="H20" s="30">
        <f t="shared" si="19"/>
        <v>0</v>
      </c>
      <c r="I20" s="30">
        <f t="shared" si="19"/>
        <v>0</v>
      </c>
      <c r="J20" s="30">
        <f t="shared" si="19"/>
        <v>3350</v>
      </c>
      <c r="K20" s="30">
        <f t="shared" si="19"/>
        <v>0</v>
      </c>
      <c r="L20" s="30">
        <f t="shared" si="19"/>
        <v>0</v>
      </c>
      <c r="M20" s="30">
        <f t="shared" si="19"/>
        <v>0</v>
      </c>
      <c r="N20" s="30">
        <f t="shared" si="6"/>
        <v>4040</v>
      </c>
      <c r="O20" s="30">
        <f t="shared" si="7"/>
        <v>0</v>
      </c>
      <c r="P20" s="30">
        <f t="shared" si="8"/>
        <v>0</v>
      </c>
      <c r="Q20" s="30">
        <f t="shared" si="9"/>
        <v>0</v>
      </c>
      <c r="R20" s="30">
        <f t="shared" si="10"/>
        <v>159</v>
      </c>
      <c r="S20" s="30">
        <f t="shared" si="11"/>
        <v>0</v>
      </c>
      <c r="T20" s="30">
        <f t="shared" si="12"/>
        <v>0</v>
      </c>
      <c r="U20" s="30">
        <f t="shared" si="13"/>
        <v>0</v>
      </c>
      <c r="V20" s="30">
        <f t="shared" si="14"/>
        <v>830</v>
      </c>
      <c r="W20" s="30">
        <f t="shared" si="15"/>
        <v>0</v>
      </c>
      <c r="X20" s="30">
        <f t="shared" si="16"/>
        <v>0</v>
      </c>
      <c r="Y20" s="30">
        <f t="shared" si="17"/>
        <v>0</v>
      </c>
    </row>
    <row r="21" spans="1:25" x14ac:dyDescent="0.2">
      <c r="A21" s="28" t="s">
        <v>31</v>
      </c>
      <c r="B21" s="30">
        <f t="shared" si="4"/>
        <v>1632</v>
      </c>
      <c r="C21" s="30">
        <f t="shared" ref="C21:M21" si="20">C20+C9</f>
        <v>0</v>
      </c>
      <c r="D21" s="30">
        <f t="shared" si="20"/>
        <v>0</v>
      </c>
      <c r="E21" s="30">
        <f t="shared" si="20"/>
        <v>0</v>
      </c>
      <c r="F21" s="30">
        <f t="shared" si="20"/>
        <v>2280</v>
      </c>
      <c r="G21" s="30">
        <f t="shared" si="20"/>
        <v>0</v>
      </c>
      <c r="H21" s="30">
        <f t="shared" si="20"/>
        <v>0</v>
      </c>
      <c r="I21" s="30">
        <f t="shared" si="20"/>
        <v>0</v>
      </c>
      <c r="J21" s="30">
        <f t="shared" si="20"/>
        <v>4020</v>
      </c>
      <c r="K21" s="30">
        <f t="shared" si="20"/>
        <v>0</v>
      </c>
      <c r="L21" s="30">
        <f t="shared" si="20"/>
        <v>0</v>
      </c>
      <c r="M21" s="30">
        <f t="shared" si="20"/>
        <v>0</v>
      </c>
      <c r="N21" s="30">
        <f t="shared" si="6"/>
        <v>4848</v>
      </c>
      <c r="O21" s="30">
        <f t="shared" si="7"/>
        <v>0</v>
      </c>
      <c r="P21" s="30">
        <f t="shared" si="8"/>
        <v>0</v>
      </c>
      <c r="Q21" s="30">
        <f t="shared" si="9"/>
        <v>0</v>
      </c>
      <c r="R21" s="30">
        <f t="shared" si="10"/>
        <v>212</v>
      </c>
      <c r="S21" s="30">
        <f t="shared" si="11"/>
        <v>0</v>
      </c>
      <c r="T21" s="30">
        <f t="shared" si="12"/>
        <v>0</v>
      </c>
      <c r="U21" s="30">
        <f t="shared" si="13"/>
        <v>0</v>
      </c>
      <c r="V21" s="30">
        <f t="shared" si="14"/>
        <v>996</v>
      </c>
      <c r="W21" s="30">
        <f t="shared" si="15"/>
        <v>0</v>
      </c>
      <c r="X21" s="30">
        <f t="shared" si="16"/>
        <v>0</v>
      </c>
      <c r="Y21" s="30">
        <f t="shared" si="17"/>
        <v>0</v>
      </c>
    </row>
    <row r="22" spans="1:25" x14ac:dyDescent="0.2">
      <c r="A22" s="28" t="s">
        <v>32</v>
      </c>
      <c r="B22" s="30">
        <f t="shared" si="4"/>
        <v>1904</v>
      </c>
      <c r="C22" s="30">
        <f t="shared" ref="C22:M22" si="21">C21+C10</f>
        <v>0</v>
      </c>
      <c r="D22" s="30">
        <f t="shared" si="21"/>
        <v>0</v>
      </c>
      <c r="E22" s="30">
        <f t="shared" si="21"/>
        <v>0</v>
      </c>
      <c r="F22" s="30">
        <f t="shared" si="21"/>
        <v>2608</v>
      </c>
      <c r="G22" s="30">
        <f t="shared" si="21"/>
        <v>0</v>
      </c>
      <c r="H22" s="30">
        <f t="shared" si="21"/>
        <v>0</v>
      </c>
      <c r="I22" s="30">
        <f t="shared" si="21"/>
        <v>0</v>
      </c>
      <c r="J22" s="30">
        <f t="shared" si="21"/>
        <v>6951</v>
      </c>
      <c r="K22" s="30">
        <f t="shared" si="21"/>
        <v>0</v>
      </c>
      <c r="L22" s="30">
        <f t="shared" si="21"/>
        <v>0</v>
      </c>
      <c r="M22" s="30">
        <f t="shared" si="21"/>
        <v>0</v>
      </c>
      <c r="N22" s="30">
        <f t="shared" si="6"/>
        <v>5193</v>
      </c>
      <c r="O22" s="30">
        <f t="shared" si="7"/>
        <v>0</v>
      </c>
      <c r="P22" s="30">
        <f t="shared" si="8"/>
        <v>0</v>
      </c>
      <c r="Q22" s="30">
        <f t="shared" si="9"/>
        <v>0</v>
      </c>
      <c r="R22" s="30">
        <f t="shared" si="10"/>
        <v>265</v>
      </c>
      <c r="S22" s="30">
        <f t="shared" si="11"/>
        <v>0</v>
      </c>
      <c r="T22" s="30">
        <f t="shared" si="12"/>
        <v>0</v>
      </c>
      <c r="U22" s="30">
        <f t="shared" si="13"/>
        <v>0</v>
      </c>
      <c r="V22" s="30">
        <f t="shared" si="14"/>
        <v>1163</v>
      </c>
      <c r="W22" s="30">
        <f t="shared" si="15"/>
        <v>0</v>
      </c>
      <c r="X22" s="30">
        <f t="shared" si="16"/>
        <v>0</v>
      </c>
      <c r="Y22" s="30">
        <f t="shared" si="17"/>
        <v>0</v>
      </c>
    </row>
    <row r="23" spans="1:25" x14ac:dyDescent="0.2">
      <c r="A23" s="28" t="s">
        <v>33</v>
      </c>
      <c r="B23" s="30">
        <f t="shared" si="4"/>
        <v>2176</v>
      </c>
      <c r="C23" s="30">
        <f t="shared" ref="C23:M23" si="22">C22+C11</f>
        <v>0</v>
      </c>
      <c r="D23" s="30">
        <f t="shared" si="22"/>
        <v>0</v>
      </c>
      <c r="E23" s="30">
        <f t="shared" si="22"/>
        <v>0</v>
      </c>
      <c r="F23" s="30">
        <f t="shared" si="22"/>
        <v>2936</v>
      </c>
      <c r="G23" s="30">
        <f t="shared" si="22"/>
        <v>0</v>
      </c>
      <c r="H23" s="30">
        <f t="shared" si="22"/>
        <v>0</v>
      </c>
      <c r="I23" s="30">
        <f t="shared" si="22"/>
        <v>0</v>
      </c>
      <c r="J23" s="30">
        <f t="shared" si="22"/>
        <v>9882</v>
      </c>
      <c r="K23" s="30">
        <f t="shared" si="22"/>
        <v>0</v>
      </c>
      <c r="L23" s="30">
        <f t="shared" si="22"/>
        <v>0</v>
      </c>
      <c r="M23" s="30">
        <f t="shared" si="22"/>
        <v>0</v>
      </c>
      <c r="N23" s="30">
        <f t="shared" si="6"/>
        <v>5538</v>
      </c>
      <c r="O23" s="30">
        <f t="shared" si="7"/>
        <v>0</v>
      </c>
      <c r="P23" s="30">
        <f t="shared" si="8"/>
        <v>0</v>
      </c>
      <c r="Q23" s="30">
        <f t="shared" si="9"/>
        <v>0</v>
      </c>
      <c r="R23" s="30">
        <f t="shared" si="10"/>
        <v>318</v>
      </c>
      <c r="S23" s="30">
        <f t="shared" si="11"/>
        <v>0</v>
      </c>
      <c r="T23" s="30">
        <f t="shared" si="12"/>
        <v>0</v>
      </c>
      <c r="U23" s="30">
        <f t="shared" si="13"/>
        <v>0</v>
      </c>
      <c r="V23" s="30">
        <f t="shared" si="14"/>
        <v>1330</v>
      </c>
      <c r="W23" s="30">
        <f t="shared" si="15"/>
        <v>0</v>
      </c>
      <c r="X23" s="30">
        <f t="shared" si="16"/>
        <v>0</v>
      </c>
      <c r="Y23" s="30">
        <f t="shared" si="17"/>
        <v>0</v>
      </c>
    </row>
    <row r="24" spans="1:25" x14ac:dyDescent="0.2">
      <c r="A24" s="28" t="s">
        <v>34</v>
      </c>
      <c r="B24" s="30">
        <f t="shared" si="4"/>
        <v>2448</v>
      </c>
      <c r="C24" s="30">
        <f t="shared" ref="C24:M24" si="23">C23+C12</f>
        <v>0</v>
      </c>
      <c r="D24" s="30">
        <f t="shared" si="23"/>
        <v>0</v>
      </c>
      <c r="E24" s="30">
        <f t="shared" si="23"/>
        <v>0</v>
      </c>
      <c r="F24" s="30">
        <f t="shared" si="23"/>
        <v>3264</v>
      </c>
      <c r="G24" s="30">
        <f t="shared" si="23"/>
        <v>0</v>
      </c>
      <c r="H24" s="30">
        <f t="shared" si="23"/>
        <v>0</v>
      </c>
      <c r="I24" s="30">
        <f t="shared" si="23"/>
        <v>0</v>
      </c>
      <c r="J24" s="30">
        <f t="shared" si="23"/>
        <v>12813</v>
      </c>
      <c r="K24" s="30">
        <f t="shared" si="23"/>
        <v>0</v>
      </c>
      <c r="L24" s="30">
        <f t="shared" si="23"/>
        <v>0</v>
      </c>
      <c r="M24" s="30">
        <f t="shared" si="23"/>
        <v>0</v>
      </c>
      <c r="N24" s="30">
        <f t="shared" si="6"/>
        <v>5883</v>
      </c>
      <c r="O24" s="30">
        <f t="shared" si="7"/>
        <v>0</v>
      </c>
      <c r="P24" s="30">
        <f t="shared" si="8"/>
        <v>0</v>
      </c>
      <c r="Q24" s="30">
        <f t="shared" si="9"/>
        <v>0</v>
      </c>
      <c r="R24" s="30">
        <f t="shared" si="10"/>
        <v>371</v>
      </c>
      <c r="S24" s="30">
        <f t="shared" si="11"/>
        <v>0</v>
      </c>
      <c r="T24" s="30">
        <f t="shared" si="12"/>
        <v>0</v>
      </c>
      <c r="U24" s="30">
        <f t="shared" si="13"/>
        <v>0</v>
      </c>
      <c r="V24" s="30">
        <f t="shared" si="14"/>
        <v>1497</v>
      </c>
      <c r="W24" s="30">
        <f t="shared" si="15"/>
        <v>0</v>
      </c>
      <c r="X24" s="30">
        <f t="shared" si="16"/>
        <v>0</v>
      </c>
      <c r="Y24" s="30">
        <f t="shared" si="17"/>
        <v>0</v>
      </c>
    </row>
    <row r="25" spans="1:25" x14ac:dyDescent="0.2">
      <c r="A25" s="29" t="s">
        <v>35</v>
      </c>
      <c r="B25" s="31">
        <f t="shared" si="4"/>
        <v>2721</v>
      </c>
      <c r="C25" s="31">
        <f t="shared" ref="C25:M25" si="24">C24+C13</f>
        <v>0</v>
      </c>
      <c r="D25" s="31">
        <f t="shared" si="24"/>
        <v>0</v>
      </c>
      <c r="E25" s="31">
        <f t="shared" si="24"/>
        <v>0</v>
      </c>
      <c r="F25" s="31">
        <f t="shared" si="24"/>
        <v>3592</v>
      </c>
      <c r="G25" s="31">
        <f t="shared" si="24"/>
        <v>0</v>
      </c>
      <c r="H25" s="31">
        <f t="shared" si="24"/>
        <v>0</v>
      </c>
      <c r="I25" s="31">
        <f t="shared" si="24"/>
        <v>0</v>
      </c>
      <c r="J25" s="31">
        <f t="shared" si="24"/>
        <v>15744</v>
      </c>
      <c r="K25" s="31">
        <f t="shared" si="24"/>
        <v>0</v>
      </c>
      <c r="L25" s="31">
        <f t="shared" si="24"/>
        <v>0</v>
      </c>
      <c r="M25" s="31">
        <f t="shared" si="24"/>
        <v>0</v>
      </c>
      <c r="N25" s="31">
        <f t="shared" si="6"/>
        <v>6228</v>
      </c>
      <c r="O25" s="31">
        <f t="shared" si="7"/>
        <v>0</v>
      </c>
      <c r="P25" s="31">
        <f t="shared" si="8"/>
        <v>0</v>
      </c>
      <c r="Q25" s="31">
        <f t="shared" si="9"/>
        <v>0</v>
      </c>
      <c r="R25" s="31">
        <f t="shared" si="10"/>
        <v>424</v>
      </c>
      <c r="S25" s="31">
        <f t="shared" si="11"/>
        <v>0</v>
      </c>
      <c r="T25" s="31">
        <f t="shared" si="12"/>
        <v>0</v>
      </c>
      <c r="U25" s="31">
        <f t="shared" si="13"/>
        <v>0</v>
      </c>
      <c r="V25" s="31">
        <f t="shared" si="14"/>
        <v>1664</v>
      </c>
      <c r="W25" s="31">
        <f t="shared" si="15"/>
        <v>0</v>
      </c>
      <c r="X25" s="31">
        <f t="shared" si="16"/>
        <v>0</v>
      </c>
      <c r="Y25" s="31">
        <f t="shared" si="17"/>
        <v>0</v>
      </c>
    </row>
    <row r="26" spans="1:25" x14ac:dyDescent="0.2">
      <c r="A26" s="29" t="s">
        <v>36</v>
      </c>
      <c r="B26" s="31">
        <f t="shared" si="4"/>
        <v>2994</v>
      </c>
      <c r="C26" s="31">
        <f t="shared" ref="C26:M26" si="25">C25+C14</f>
        <v>0</v>
      </c>
      <c r="D26" s="31">
        <f t="shared" si="25"/>
        <v>0</v>
      </c>
      <c r="E26" s="31">
        <f t="shared" si="25"/>
        <v>0</v>
      </c>
      <c r="F26" s="31">
        <f t="shared" si="25"/>
        <v>3920</v>
      </c>
      <c r="G26" s="31">
        <f t="shared" si="25"/>
        <v>0</v>
      </c>
      <c r="H26" s="31">
        <f t="shared" si="25"/>
        <v>0</v>
      </c>
      <c r="I26" s="31">
        <f t="shared" si="25"/>
        <v>0</v>
      </c>
      <c r="J26" s="31">
        <f t="shared" si="25"/>
        <v>18675</v>
      </c>
      <c r="K26" s="31">
        <f t="shared" si="25"/>
        <v>0</v>
      </c>
      <c r="L26" s="31">
        <f t="shared" si="25"/>
        <v>0</v>
      </c>
      <c r="M26" s="31">
        <f t="shared" si="25"/>
        <v>0</v>
      </c>
      <c r="N26" s="31">
        <f t="shared" si="6"/>
        <v>6573</v>
      </c>
      <c r="O26" s="31">
        <f t="shared" si="7"/>
        <v>0</v>
      </c>
      <c r="P26" s="31">
        <f t="shared" si="8"/>
        <v>0</v>
      </c>
      <c r="Q26" s="31">
        <f t="shared" si="9"/>
        <v>0</v>
      </c>
      <c r="R26" s="31">
        <f t="shared" si="10"/>
        <v>477</v>
      </c>
      <c r="S26" s="31">
        <f t="shared" si="11"/>
        <v>0</v>
      </c>
      <c r="T26" s="31">
        <f t="shared" si="12"/>
        <v>0</v>
      </c>
      <c r="U26" s="31">
        <f t="shared" si="13"/>
        <v>0</v>
      </c>
      <c r="V26" s="31">
        <f t="shared" si="14"/>
        <v>1831</v>
      </c>
      <c r="W26" s="31">
        <f t="shared" si="15"/>
        <v>0</v>
      </c>
      <c r="X26" s="31">
        <f t="shared" si="16"/>
        <v>0</v>
      </c>
      <c r="Y26" s="31">
        <f t="shared" si="17"/>
        <v>0</v>
      </c>
    </row>
    <row r="27" spans="1:25" x14ac:dyDescent="0.2">
      <c r="A27" s="12" t="s">
        <v>15</v>
      </c>
      <c r="B27" s="32">
        <f t="shared" si="4"/>
        <v>3300</v>
      </c>
      <c r="C27" s="32">
        <f t="shared" ref="C27:M27" si="26">C26+C15</f>
        <v>0</v>
      </c>
      <c r="D27" s="32">
        <f t="shared" si="26"/>
        <v>0</v>
      </c>
      <c r="E27" s="32">
        <f t="shared" si="26"/>
        <v>0</v>
      </c>
      <c r="F27" s="32">
        <f t="shared" si="26"/>
        <v>4250</v>
      </c>
      <c r="G27" s="32">
        <f t="shared" si="26"/>
        <v>0</v>
      </c>
      <c r="H27" s="32">
        <f t="shared" si="26"/>
        <v>0</v>
      </c>
      <c r="I27" s="32">
        <f t="shared" si="26"/>
        <v>0</v>
      </c>
      <c r="J27" s="32">
        <f t="shared" si="26"/>
        <v>21637</v>
      </c>
      <c r="K27" s="32">
        <f t="shared" si="26"/>
        <v>0</v>
      </c>
      <c r="L27" s="32">
        <f t="shared" si="26"/>
        <v>0</v>
      </c>
      <c r="M27" s="32">
        <f t="shared" si="26"/>
        <v>0</v>
      </c>
      <c r="N27" s="32">
        <f t="shared" si="6"/>
        <v>6930</v>
      </c>
      <c r="O27" s="32">
        <f t="shared" si="7"/>
        <v>0</v>
      </c>
      <c r="P27" s="32">
        <f t="shared" si="8"/>
        <v>0</v>
      </c>
      <c r="Q27" s="32">
        <f t="shared" si="9"/>
        <v>0</v>
      </c>
      <c r="R27" s="32">
        <f t="shared" si="10"/>
        <v>534</v>
      </c>
      <c r="S27" s="32">
        <f t="shared" si="11"/>
        <v>0</v>
      </c>
      <c r="T27" s="32">
        <f t="shared" si="12"/>
        <v>0</v>
      </c>
      <c r="U27" s="32">
        <f t="shared" si="13"/>
        <v>0</v>
      </c>
      <c r="V27" s="32">
        <f t="shared" si="14"/>
        <v>2000</v>
      </c>
      <c r="W27" s="32">
        <f t="shared" si="15"/>
        <v>0</v>
      </c>
      <c r="X27" s="32">
        <f t="shared" si="16"/>
        <v>0</v>
      </c>
      <c r="Y27" s="32">
        <f t="shared" si="17"/>
        <v>0</v>
      </c>
    </row>
  </sheetData>
  <mergeCells count="10">
    <mergeCell ref="B1:D1"/>
    <mergeCell ref="F1:H1"/>
    <mergeCell ref="C2:E2"/>
    <mergeCell ref="G2:I2"/>
    <mergeCell ref="W2:Y2"/>
    <mergeCell ref="N1:P1"/>
    <mergeCell ref="R1:T1"/>
    <mergeCell ref="O2:Q2"/>
    <mergeCell ref="S2:U2"/>
    <mergeCell ref="K2:M2"/>
  </mergeCells>
  <phoneticPr fontId="0" type="noConversion"/>
  <pageMargins left="0" right="0.78740157480314965" top="0" bottom="0" header="0" footer="0"/>
  <pageSetup paperSize="9" scale="68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10.5703125" bestFit="1" customWidth="1"/>
    <col min="9" max="9" width="10.5703125" customWidth="1"/>
    <col min="11" max="11" width="11.85546875" bestFit="1" customWidth="1"/>
    <col min="12" max="12" width="10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160</v>
      </c>
      <c r="C4" s="22"/>
      <c r="D4" s="22"/>
      <c r="E4" s="22"/>
      <c r="F4" s="22">
        <v>400</v>
      </c>
      <c r="G4" s="22"/>
      <c r="H4" s="22"/>
      <c r="I4" s="125"/>
      <c r="J4" s="22">
        <v>775</v>
      </c>
      <c r="K4" s="22"/>
      <c r="L4" s="22"/>
      <c r="M4" s="22"/>
      <c r="N4" s="22">
        <v>1025</v>
      </c>
      <c r="O4" s="22"/>
      <c r="P4" s="22"/>
      <c r="Q4" s="22"/>
      <c r="R4" s="22">
        <v>124</v>
      </c>
      <c r="S4" s="22"/>
      <c r="T4" s="22"/>
      <c r="U4" s="22"/>
      <c r="V4" s="22">
        <v>125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210</v>
      </c>
      <c r="C5" s="22"/>
      <c r="D5" s="22"/>
      <c r="E5" s="22"/>
      <c r="F5" s="22">
        <v>440</v>
      </c>
      <c r="G5" s="22"/>
      <c r="H5" s="22"/>
      <c r="I5" s="125"/>
      <c r="J5" s="22">
        <v>1045</v>
      </c>
      <c r="K5" s="22"/>
      <c r="L5" s="22"/>
      <c r="M5" s="22"/>
      <c r="N5" s="22">
        <v>1311</v>
      </c>
      <c r="O5" s="22"/>
      <c r="P5" s="22"/>
      <c r="Q5" s="22"/>
      <c r="R5" s="22">
        <v>124</v>
      </c>
      <c r="S5" s="22"/>
      <c r="T5" s="22"/>
      <c r="U5" s="22"/>
      <c r="V5" s="22">
        <v>125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255</v>
      </c>
      <c r="C6" s="22"/>
      <c r="D6" s="22"/>
      <c r="E6" s="22"/>
      <c r="F6" s="22">
        <v>420</v>
      </c>
      <c r="G6" s="22"/>
      <c r="H6" s="22"/>
      <c r="I6" s="125"/>
      <c r="J6" s="22">
        <v>1140</v>
      </c>
      <c r="K6" s="22"/>
      <c r="L6" s="22"/>
      <c r="M6" s="22"/>
      <c r="N6" s="22">
        <v>1306</v>
      </c>
      <c r="O6" s="22"/>
      <c r="P6" s="22"/>
      <c r="Q6" s="22"/>
      <c r="R6" s="22">
        <v>124</v>
      </c>
      <c r="S6" s="22"/>
      <c r="T6" s="22"/>
      <c r="U6" s="22"/>
      <c r="V6" s="22">
        <v>110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230</v>
      </c>
      <c r="C7" s="22"/>
      <c r="D7" s="22"/>
      <c r="E7" s="22"/>
      <c r="F7" s="22">
        <v>400</v>
      </c>
      <c r="G7" s="22"/>
      <c r="H7" s="22"/>
      <c r="I7" s="125"/>
      <c r="J7" s="22">
        <v>1130</v>
      </c>
      <c r="K7" s="22"/>
      <c r="L7" s="22"/>
      <c r="M7" s="22"/>
      <c r="N7" s="22">
        <v>1240</v>
      </c>
      <c r="O7" s="22"/>
      <c r="P7" s="22"/>
      <c r="Q7" s="22"/>
      <c r="R7" s="22">
        <v>124</v>
      </c>
      <c r="S7" s="22"/>
      <c r="T7" s="22"/>
      <c r="U7" s="22"/>
      <c r="V7" s="22">
        <v>110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140</v>
      </c>
      <c r="C8" s="22"/>
      <c r="D8" s="22"/>
      <c r="E8" s="22"/>
      <c r="F8" s="22">
        <v>310</v>
      </c>
      <c r="G8" s="22"/>
      <c r="H8" s="22"/>
      <c r="I8" s="125"/>
      <c r="J8" s="22">
        <v>950</v>
      </c>
      <c r="K8" s="22"/>
      <c r="L8" s="22"/>
      <c r="M8" s="22"/>
      <c r="N8" s="22">
        <v>947</v>
      </c>
      <c r="O8" s="22"/>
      <c r="P8" s="22"/>
      <c r="Q8" s="22"/>
      <c r="R8" s="22">
        <v>124</v>
      </c>
      <c r="S8" s="22"/>
      <c r="T8" s="22"/>
      <c r="U8" s="22"/>
      <c r="V8" s="22">
        <v>110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110</v>
      </c>
      <c r="C9" s="22"/>
      <c r="D9" s="22"/>
      <c r="E9" s="22"/>
      <c r="F9" s="22">
        <v>230</v>
      </c>
      <c r="G9" s="22"/>
      <c r="H9" s="22"/>
      <c r="I9" s="125"/>
      <c r="J9" s="22">
        <v>600</v>
      </c>
      <c r="K9" s="22"/>
      <c r="L9" s="22"/>
      <c r="M9" s="22"/>
      <c r="N9" s="22">
        <v>940</v>
      </c>
      <c r="O9" s="22"/>
      <c r="P9" s="22"/>
      <c r="Q9" s="22"/>
      <c r="R9" s="22">
        <v>124</v>
      </c>
      <c r="S9" s="22"/>
      <c r="T9" s="22"/>
      <c r="U9" s="22"/>
      <c r="V9" s="22">
        <v>110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110</v>
      </c>
      <c r="C10" s="22"/>
      <c r="D10" s="22"/>
      <c r="E10" s="22"/>
      <c r="F10" s="22">
        <v>230</v>
      </c>
      <c r="G10" s="22"/>
      <c r="H10" s="22"/>
      <c r="I10" s="125"/>
      <c r="J10" s="22">
        <v>995</v>
      </c>
      <c r="K10" s="22"/>
      <c r="L10" s="22"/>
      <c r="M10" s="22"/>
      <c r="N10" s="22">
        <v>846</v>
      </c>
      <c r="O10" s="22"/>
      <c r="P10" s="22"/>
      <c r="Q10" s="22"/>
      <c r="R10" s="22">
        <v>108</v>
      </c>
      <c r="S10" s="22"/>
      <c r="T10" s="22"/>
      <c r="U10" s="22"/>
      <c r="V10" s="22">
        <f>104+11</f>
        <v>115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130</v>
      </c>
      <c r="C11" s="22"/>
      <c r="D11" s="22"/>
      <c r="E11" s="22"/>
      <c r="F11" s="22">
        <v>250</v>
      </c>
      <c r="G11" s="22"/>
      <c r="H11" s="22"/>
      <c r="I11" s="125"/>
      <c r="J11" s="22">
        <v>1055</v>
      </c>
      <c r="K11" s="22"/>
      <c r="L11" s="22"/>
      <c r="M11" s="22"/>
      <c r="N11" s="22">
        <v>857</v>
      </c>
      <c r="O11" s="22"/>
      <c r="P11" s="22"/>
      <c r="Q11" s="22"/>
      <c r="R11" s="22">
        <v>108</v>
      </c>
      <c r="S11" s="22"/>
      <c r="T11" s="22"/>
      <c r="U11" s="22"/>
      <c r="V11" s="22">
        <f>104+11</f>
        <v>115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245</v>
      </c>
      <c r="C12" s="22"/>
      <c r="D12" s="22"/>
      <c r="E12" s="22"/>
      <c r="F12" s="22">
        <v>380</v>
      </c>
      <c r="G12" s="22"/>
      <c r="H12" s="22"/>
      <c r="I12" s="125"/>
      <c r="J12" s="22">
        <v>1455</v>
      </c>
      <c r="K12" s="22"/>
      <c r="L12" s="22"/>
      <c r="M12" s="22"/>
      <c r="N12" s="22">
        <v>1079</v>
      </c>
      <c r="O12" s="22"/>
      <c r="P12" s="22"/>
      <c r="Q12" s="22"/>
      <c r="R12" s="22">
        <v>110</v>
      </c>
      <c r="S12" s="22"/>
      <c r="T12" s="22"/>
      <c r="U12" s="22"/>
      <c r="V12" s="22">
        <f>104+11</f>
        <v>115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260</v>
      </c>
      <c r="C13" s="22"/>
      <c r="D13" s="22"/>
      <c r="E13" s="22"/>
      <c r="F13" s="22">
        <v>480</v>
      </c>
      <c r="G13" s="22"/>
      <c r="H13" s="22"/>
      <c r="I13" s="125"/>
      <c r="J13" s="22">
        <v>1585</v>
      </c>
      <c r="K13" s="22"/>
      <c r="L13" s="22"/>
      <c r="M13" s="22"/>
      <c r="N13" s="22">
        <v>1197</v>
      </c>
      <c r="O13" s="22"/>
      <c r="P13" s="22"/>
      <c r="Q13" s="22"/>
      <c r="R13" s="22">
        <v>110</v>
      </c>
      <c r="S13" s="22"/>
      <c r="T13" s="22"/>
      <c r="U13" s="22"/>
      <c r="V13" s="22">
        <f>110+11</f>
        <v>121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270</v>
      </c>
      <c r="C14" s="22"/>
      <c r="D14" s="22"/>
      <c r="E14" s="22"/>
      <c r="F14" s="22">
        <v>480</v>
      </c>
      <c r="G14" s="22"/>
      <c r="H14" s="22"/>
      <c r="I14" s="125"/>
      <c r="J14" s="22">
        <v>1535</v>
      </c>
      <c r="K14" s="22"/>
      <c r="L14" s="22"/>
      <c r="M14" s="22"/>
      <c r="N14" s="22">
        <v>1230</v>
      </c>
      <c r="O14" s="22"/>
      <c r="P14" s="22"/>
      <c r="Q14" s="22"/>
      <c r="R14" s="22">
        <v>110</v>
      </c>
      <c r="S14" s="22"/>
      <c r="T14" s="22"/>
      <c r="U14" s="22"/>
      <c r="V14" s="22">
        <f>110+12</f>
        <v>122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280</v>
      </c>
      <c r="C15" s="22"/>
      <c r="D15" s="22"/>
      <c r="E15" s="22"/>
      <c r="F15" s="22">
        <v>480</v>
      </c>
      <c r="G15" s="22"/>
      <c r="H15" s="22"/>
      <c r="I15" s="125"/>
      <c r="J15" s="22">
        <v>1566</v>
      </c>
      <c r="K15" s="22"/>
      <c r="L15" s="22"/>
      <c r="M15" s="22"/>
      <c r="N15" s="22">
        <v>1237</v>
      </c>
      <c r="O15" s="22"/>
      <c r="P15" s="22"/>
      <c r="Q15" s="22"/>
      <c r="R15" s="22">
        <v>110</v>
      </c>
      <c r="S15" s="22"/>
      <c r="T15" s="22"/>
      <c r="U15" s="22"/>
      <c r="V15" s="22">
        <f>110+12</f>
        <v>122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2400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4500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13831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13215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1400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1400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ht="14.45" customHeight="1" x14ac:dyDescent="0.2">
      <c r="A17" s="28" t="s">
        <v>28</v>
      </c>
      <c r="B17" s="30">
        <f>B4+B5</f>
        <v>370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840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1820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2336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248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250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/>
      <c r="B18" s="30">
        <f t="shared" ref="B18:AC27" si="2">B17+B6</f>
        <v>625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1260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2960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3642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372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360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855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1660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4090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4882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496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470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995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1970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5040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5829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620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580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1105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2200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5640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6769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744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690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1215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2430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6635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7615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852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805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1345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2680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7690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8472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960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920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1590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3060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9145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9551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1070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1035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1850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3540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10730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10748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1180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1156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2120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4020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12265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11978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1290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1278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2400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4500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13831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13215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1400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1400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5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H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9.5703125" bestFit="1" customWidth="1"/>
    <col min="9" max="9" width="9.5703125" customWidth="1"/>
    <col min="12" max="12" width="11" bestFit="1" customWidth="1"/>
  </cols>
  <sheetData>
    <row r="1" spans="1:27" x14ac:dyDescent="0.2">
      <c r="A1" s="2"/>
      <c r="B1" s="366" t="s">
        <v>0</v>
      </c>
      <c r="C1" s="365"/>
      <c r="D1" s="365"/>
      <c r="E1" s="371"/>
      <c r="F1" s="359" t="s">
        <v>1</v>
      </c>
      <c r="G1" s="358"/>
      <c r="H1" s="358"/>
      <c r="I1" s="20"/>
      <c r="J1" s="19"/>
      <c r="K1" s="24" t="s">
        <v>2</v>
      </c>
      <c r="L1" s="25"/>
      <c r="N1" s="19"/>
      <c r="O1" s="24" t="s">
        <v>192</v>
      </c>
      <c r="P1" s="25"/>
      <c r="R1" s="19"/>
      <c r="S1" s="24" t="s">
        <v>193</v>
      </c>
      <c r="T1" s="25"/>
      <c r="V1" s="19"/>
      <c r="W1" s="24" t="s">
        <v>188</v>
      </c>
      <c r="X1" s="25"/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7" t="s">
        <v>6</v>
      </c>
      <c r="K2" s="359" t="s">
        <v>25</v>
      </c>
      <c r="L2" s="358"/>
      <c r="M2" s="362"/>
      <c r="N2" s="7" t="s">
        <v>6</v>
      </c>
      <c r="O2" s="359" t="s">
        <v>25</v>
      </c>
      <c r="P2" s="358"/>
      <c r="Q2" s="362"/>
      <c r="R2" s="7" t="s">
        <v>6</v>
      </c>
      <c r="S2" s="359" t="s">
        <v>25</v>
      </c>
      <c r="T2" s="358"/>
      <c r="U2" s="362"/>
      <c r="V2" s="7" t="s">
        <v>6</v>
      </c>
      <c r="W2" s="359" t="s">
        <v>25</v>
      </c>
      <c r="X2" s="358"/>
      <c r="Y2" s="362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7"/>
      <c r="O3" s="17" t="s">
        <v>27</v>
      </c>
      <c r="P3" s="15" t="s">
        <v>26</v>
      </c>
      <c r="Q3" s="115" t="s">
        <v>105</v>
      </c>
      <c r="R3" s="7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</row>
    <row r="4" spans="1:27" x14ac:dyDescent="0.2">
      <c r="A4" s="1" t="s">
        <v>4</v>
      </c>
      <c r="B4" s="22">
        <v>890</v>
      </c>
      <c r="C4" s="22"/>
      <c r="D4" s="22"/>
      <c r="E4" s="22"/>
      <c r="F4" s="22">
        <v>510</v>
      </c>
      <c r="G4" s="22"/>
      <c r="H4" s="22"/>
      <c r="I4" s="22"/>
      <c r="J4" s="22">
        <v>748</v>
      </c>
      <c r="K4" s="22"/>
      <c r="L4" s="22"/>
      <c r="M4" s="21"/>
      <c r="N4" s="22">
        <v>1154</v>
      </c>
      <c r="O4" s="22"/>
      <c r="P4" s="22"/>
      <c r="Q4" s="21"/>
      <c r="R4" s="22">
        <v>240</v>
      </c>
      <c r="S4" s="22"/>
      <c r="T4" s="22"/>
      <c r="U4" s="21"/>
      <c r="V4" s="22">
        <v>270</v>
      </c>
      <c r="W4" s="22"/>
      <c r="X4" s="22"/>
      <c r="Y4" s="21"/>
    </row>
    <row r="5" spans="1:27" x14ac:dyDescent="0.2">
      <c r="A5" s="1" t="s">
        <v>7</v>
      </c>
      <c r="B5" s="22">
        <v>1230</v>
      </c>
      <c r="C5" s="22"/>
      <c r="D5" s="22"/>
      <c r="E5" s="22"/>
      <c r="F5" s="22">
        <v>710</v>
      </c>
      <c r="G5" s="22"/>
      <c r="H5" s="22"/>
      <c r="I5" s="22"/>
      <c r="J5" s="22">
        <v>1130</v>
      </c>
      <c r="K5" s="22"/>
      <c r="L5" s="22"/>
      <c r="M5" s="21"/>
      <c r="N5" s="22">
        <v>1404</v>
      </c>
      <c r="O5" s="22"/>
      <c r="P5" s="22"/>
      <c r="Q5" s="21"/>
      <c r="R5" s="22">
        <v>300</v>
      </c>
      <c r="S5" s="22"/>
      <c r="T5" s="22"/>
      <c r="U5" s="21"/>
      <c r="V5" s="22">
        <v>270</v>
      </c>
      <c r="W5" s="22"/>
      <c r="X5" s="22"/>
      <c r="Y5" s="21"/>
    </row>
    <row r="6" spans="1:27" x14ac:dyDescent="0.2">
      <c r="A6" s="1" t="s">
        <v>8</v>
      </c>
      <c r="B6" s="22">
        <v>1400</v>
      </c>
      <c r="C6" s="22"/>
      <c r="D6" s="22"/>
      <c r="E6" s="22"/>
      <c r="F6" s="22">
        <v>780</v>
      </c>
      <c r="G6" s="22"/>
      <c r="H6" s="22"/>
      <c r="I6" s="22"/>
      <c r="J6" s="22">
        <v>1260</v>
      </c>
      <c r="K6" s="22"/>
      <c r="L6" s="22"/>
      <c r="M6" s="21"/>
      <c r="N6" s="22">
        <v>1470</v>
      </c>
      <c r="O6" s="22"/>
      <c r="P6" s="22"/>
      <c r="Q6" s="21"/>
      <c r="R6" s="22">
        <v>300</v>
      </c>
      <c r="S6" s="22"/>
      <c r="T6" s="22"/>
      <c r="U6" s="21"/>
      <c r="V6" s="22">
        <v>260</v>
      </c>
      <c r="W6" s="22"/>
      <c r="X6" s="22"/>
      <c r="Y6" s="21"/>
    </row>
    <row r="7" spans="1:27" x14ac:dyDescent="0.2">
      <c r="A7" s="1" t="s">
        <v>16</v>
      </c>
      <c r="B7" s="22">
        <v>1370</v>
      </c>
      <c r="C7" s="22"/>
      <c r="D7" s="22"/>
      <c r="E7" s="22"/>
      <c r="F7" s="22">
        <v>740</v>
      </c>
      <c r="G7" s="22"/>
      <c r="H7" s="22"/>
      <c r="I7" s="22"/>
      <c r="J7" s="22">
        <v>1240</v>
      </c>
      <c r="K7" s="22"/>
      <c r="L7" s="22"/>
      <c r="M7" s="21"/>
      <c r="N7" s="22">
        <v>1460</v>
      </c>
      <c r="O7" s="22"/>
      <c r="P7" s="22"/>
      <c r="Q7" s="21"/>
      <c r="R7" s="22">
        <v>300</v>
      </c>
      <c r="S7" s="22"/>
      <c r="T7" s="22"/>
      <c r="U7" s="21"/>
      <c r="V7" s="22">
        <v>260</v>
      </c>
      <c r="W7" s="22"/>
      <c r="X7" s="22"/>
      <c r="Y7" s="21"/>
    </row>
    <row r="8" spans="1:27" x14ac:dyDescent="0.2">
      <c r="A8" s="1" t="s">
        <v>17</v>
      </c>
      <c r="B8" s="22">
        <v>1230</v>
      </c>
      <c r="C8" s="22"/>
      <c r="D8" s="22"/>
      <c r="E8" s="22"/>
      <c r="F8" s="22">
        <v>580</v>
      </c>
      <c r="G8" s="22"/>
      <c r="H8" s="22"/>
      <c r="I8" s="22"/>
      <c r="J8" s="22">
        <v>1195</v>
      </c>
      <c r="K8" s="22"/>
      <c r="L8" s="22"/>
      <c r="M8" s="21"/>
      <c r="N8" s="22">
        <v>1390</v>
      </c>
      <c r="O8" s="22"/>
      <c r="P8" s="22"/>
      <c r="Q8" s="21"/>
      <c r="R8" s="22">
        <v>286</v>
      </c>
      <c r="S8" s="22"/>
      <c r="T8" s="22"/>
      <c r="U8" s="21"/>
      <c r="V8" s="22">
        <v>260</v>
      </c>
      <c r="W8" s="22"/>
      <c r="X8" s="22"/>
      <c r="Y8" s="21"/>
    </row>
    <row r="9" spans="1:27" x14ac:dyDescent="0.2">
      <c r="A9" s="1" t="s">
        <v>18</v>
      </c>
      <c r="B9" s="22">
        <v>1020</v>
      </c>
      <c r="C9" s="22"/>
      <c r="D9" s="22"/>
      <c r="E9" s="22"/>
      <c r="F9" s="22">
        <v>570</v>
      </c>
      <c r="G9" s="22"/>
      <c r="H9" s="22"/>
      <c r="I9" s="22"/>
      <c r="J9" s="22">
        <v>1095</v>
      </c>
      <c r="K9" s="22"/>
      <c r="L9" s="22"/>
      <c r="M9" s="21"/>
      <c r="N9" s="22">
        <v>1350</v>
      </c>
      <c r="O9" s="22"/>
      <c r="P9" s="22"/>
      <c r="Q9" s="21"/>
      <c r="R9" s="22">
        <v>260</v>
      </c>
      <c r="S9" s="22"/>
      <c r="T9" s="22"/>
      <c r="U9" s="21"/>
      <c r="V9" s="22">
        <v>260</v>
      </c>
      <c r="W9" s="22"/>
      <c r="X9" s="22"/>
      <c r="Y9" s="21"/>
    </row>
    <row r="10" spans="1:27" x14ac:dyDescent="0.2">
      <c r="A10" s="82" t="s">
        <v>19</v>
      </c>
      <c r="B10" s="22">
        <v>1010</v>
      </c>
      <c r="C10" s="83"/>
      <c r="D10" s="83"/>
      <c r="E10" s="83"/>
      <c r="F10" s="86">
        <v>550</v>
      </c>
      <c r="G10" s="83"/>
      <c r="H10" s="83"/>
      <c r="I10" s="83"/>
      <c r="J10" s="86">
        <v>3613</v>
      </c>
      <c r="K10" s="83"/>
      <c r="L10" s="22"/>
      <c r="M10" s="21"/>
      <c r="N10" s="86">
        <v>577</v>
      </c>
      <c r="O10" s="83"/>
      <c r="P10" s="22"/>
      <c r="Q10" s="21"/>
      <c r="R10" s="86">
        <v>270</v>
      </c>
      <c r="S10" s="83"/>
      <c r="T10" s="22"/>
      <c r="U10" s="21"/>
      <c r="V10" s="22">
        <f>230+24</f>
        <v>254</v>
      </c>
      <c r="W10" s="83"/>
      <c r="X10" s="22"/>
      <c r="Y10" s="21"/>
    </row>
    <row r="11" spans="1:27" x14ac:dyDescent="0.2">
      <c r="A11" s="1" t="s">
        <v>10</v>
      </c>
      <c r="B11" s="22">
        <v>1030</v>
      </c>
      <c r="C11" s="22"/>
      <c r="D11" s="22"/>
      <c r="E11" s="22"/>
      <c r="F11" s="22">
        <v>550</v>
      </c>
      <c r="G11" s="22"/>
      <c r="H11" s="22"/>
      <c r="I11" s="22"/>
      <c r="J11" s="22">
        <v>3620</v>
      </c>
      <c r="K11" s="22"/>
      <c r="L11" s="22"/>
      <c r="M11" s="21"/>
      <c r="N11" s="22">
        <v>582</v>
      </c>
      <c r="O11" s="22"/>
      <c r="P11" s="22"/>
      <c r="Q11" s="21"/>
      <c r="R11" s="22">
        <v>280</v>
      </c>
      <c r="S11" s="22"/>
      <c r="T11" s="22"/>
      <c r="U11" s="21"/>
      <c r="V11" s="22">
        <f>230+24</f>
        <v>254</v>
      </c>
      <c r="W11" s="22"/>
      <c r="X11" s="22"/>
      <c r="Y11" s="21"/>
    </row>
    <row r="12" spans="1:27" x14ac:dyDescent="0.2">
      <c r="A12" s="1" t="s">
        <v>11</v>
      </c>
      <c r="B12" s="22">
        <v>1270</v>
      </c>
      <c r="C12" s="22"/>
      <c r="D12" s="22"/>
      <c r="E12" s="22"/>
      <c r="F12" s="22">
        <v>600</v>
      </c>
      <c r="G12" s="22"/>
      <c r="H12" s="22"/>
      <c r="I12" s="22"/>
      <c r="J12" s="22">
        <v>3660</v>
      </c>
      <c r="K12" s="22"/>
      <c r="L12" s="22"/>
      <c r="M12" s="21"/>
      <c r="N12" s="22">
        <v>630</v>
      </c>
      <c r="O12" s="22"/>
      <c r="P12" s="22"/>
      <c r="Q12" s="21"/>
      <c r="R12" s="22">
        <v>300</v>
      </c>
      <c r="S12" s="22"/>
      <c r="T12" s="22"/>
      <c r="U12" s="21"/>
      <c r="V12" s="22">
        <f>240+24</f>
        <v>264</v>
      </c>
      <c r="W12" s="22"/>
      <c r="X12" s="22"/>
      <c r="Y12" s="21"/>
    </row>
    <row r="13" spans="1:27" x14ac:dyDescent="0.2">
      <c r="A13" s="1" t="s">
        <v>12</v>
      </c>
      <c r="B13" s="22">
        <v>1340</v>
      </c>
      <c r="C13" s="22"/>
      <c r="D13" s="22"/>
      <c r="E13" s="22"/>
      <c r="F13" s="22">
        <v>640</v>
      </c>
      <c r="G13" s="22"/>
      <c r="H13" s="22"/>
      <c r="I13" s="22"/>
      <c r="J13" s="22">
        <v>3761</v>
      </c>
      <c r="K13" s="22"/>
      <c r="L13" s="22"/>
      <c r="M13" s="21"/>
      <c r="N13" s="22">
        <v>671</v>
      </c>
      <c r="O13" s="22"/>
      <c r="P13" s="22"/>
      <c r="Q13" s="21"/>
      <c r="R13" s="22">
        <v>300</v>
      </c>
      <c r="S13" s="22"/>
      <c r="T13" s="22"/>
      <c r="U13" s="21"/>
      <c r="V13" s="22">
        <f>240+24</f>
        <v>264</v>
      </c>
      <c r="W13" s="22"/>
      <c r="X13" s="22"/>
      <c r="Y13" s="21"/>
    </row>
    <row r="14" spans="1:27" x14ac:dyDescent="0.2">
      <c r="A14" s="1" t="s">
        <v>13</v>
      </c>
      <c r="B14" s="22">
        <v>1380</v>
      </c>
      <c r="C14" s="22"/>
      <c r="D14" s="22"/>
      <c r="E14" s="22"/>
      <c r="F14" s="22">
        <v>640</v>
      </c>
      <c r="G14" s="22"/>
      <c r="H14" s="22"/>
      <c r="I14" s="22"/>
      <c r="J14" s="22">
        <v>3810</v>
      </c>
      <c r="K14" s="22"/>
      <c r="L14" s="22"/>
      <c r="M14" s="21"/>
      <c r="N14" s="22">
        <v>660</v>
      </c>
      <c r="O14" s="22"/>
      <c r="P14" s="22"/>
      <c r="Q14" s="21"/>
      <c r="R14" s="22">
        <v>310</v>
      </c>
      <c r="S14" s="22"/>
      <c r="T14" s="22"/>
      <c r="U14" s="21"/>
      <c r="V14" s="22">
        <f>240+24</f>
        <v>264</v>
      </c>
      <c r="W14" s="22"/>
      <c r="X14" s="22"/>
      <c r="Y14" s="21"/>
    </row>
    <row r="15" spans="1:27" x14ac:dyDescent="0.2">
      <c r="A15" s="1" t="s">
        <v>14</v>
      </c>
      <c r="B15" s="22">
        <v>1330</v>
      </c>
      <c r="C15" s="22"/>
      <c r="D15" s="22"/>
      <c r="E15" s="22"/>
      <c r="F15" s="22">
        <v>630</v>
      </c>
      <c r="G15" s="22"/>
      <c r="H15" s="22"/>
      <c r="I15" s="22"/>
      <c r="J15" s="22">
        <v>3721</v>
      </c>
      <c r="K15" s="22"/>
      <c r="L15" s="22"/>
      <c r="M15" s="21"/>
      <c r="N15" s="22">
        <v>635</v>
      </c>
      <c r="O15" s="22"/>
      <c r="P15" s="22"/>
      <c r="Q15" s="21"/>
      <c r="R15" s="22">
        <v>298</v>
      </c>
      <c r="S15" s="22"/>
      <c r="T15" s="22"/>
      <c r="U15" s="21"/>
      <c r="V15" s="22">
        <f>249+21</f>
        <v>270</v>
      </c>
      <c r="W15" s="22"/>
      <c r="X15" s="22"/>
      <c r="Y15" s="21"/>
    </row>
    <row r="16" spans="1:27" x14ac:dyDescent="0.2">
      <c r="A16" s="1" t="s">
        <v>6</v>
      </c>
      <c r="B16" s="22">
        <f>SUM(B4:B15)</f>
        <v>14500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7500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28853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Y16" si="1">SUM(N4:N15)</f>
        <v>11983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3444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3150</v>
      </c>
      <c r="W16" s="22">
        <f t="shared" si="1"/>
        <v>0</v>
      </c>
      <c r="X16" s="22">
        <f t="shared" si="1"/>
        <v>0</v>
      </c>
      <c r="Y16" s="22">
        <f t="shared" si="1"/>
        <v>0</v>
      </c>
    </row>
    <row r="17" spans="1:25" x14ac:dyDescent="0.2">
      <c r="A17" s="28" t="s">
        <v>28</v>
      </c>
      <c r="B17" s="30">
        <f t="shared" ref="B17:L17" si="2">B4+B5</f>
        <v>2120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1220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1878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2558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540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540</v>
      </c>
      <c r="W17" s="30">
        <f t="shared" si="3"/>
        <v>0</v>
      </c>
      <c r="X17" s="30">
        <f t="shared" si="3"/>
        <v>0</v>
      </c>
      <c r="Y17" s="30">
        <f t="shared" si="3"/>
        <v>0</v>
      </c>
    </row>
    <row r="18" spans="1:25" x14ac:dyDescent="0.2">
      <c r="A18" s="28"/>
      <c r="B18" s="30">
        <f t="shared" ref="B18:B27" si="4">B17+B6</f>
        <v>3520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2000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3138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4028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840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  <c r="V18" s="30">
        <f t="shared" ref="V18:V27" si="21">V17+V6</f>
        <v>800</v>
      </c>
      <c r="W18" s="30">
        <f t="shared" ref="W18:W27" si="22">W17+W6</f>
        <v>0</v>
      </c>
      <c r="X18" s="30">
        <f t="shared" ref="X18:X27" si="23">X17+X6</f>
        <v>0</v>
      </c>
      <c r="Y18" s="30">
        <f t="shared" ref="Y18:Y27" si="24">Y17+Y6</f>
        <v>0</v>
      </c>
    </row>
    <row r="19" spans="1:25" x14ac:dyDescent="0.2">
      <c r="A19" s="28" t="s">
        <v>29</v>
      </c>
      <c r="B19" s="30">
        <f t="shared" si="4"/>
        <v>4890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2740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4378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5488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1140</v>
      </c>
      <c r="S19" s="30">
        <f t="shared" si="18"/>
        <v>0</v>
      </c>
      <c r="T19" s="30">
        <f t="shared" si="19"/>
        <v>0</v>
      </c>
      <c r="U19" s="30">
        <f t="shared" si="20"/>
        <v>0</v>
      </c>
      <c r="V19" s="30">
        <f t="shared" si="21"/>
        <v>1060</v>
      </c>
      <c r="W19" s="30">
        <f t="shared" si="22"/>
        <v>0</v>
      </c>
      <c r="X19" s="30">
        <f t="shared" si="23"/>
        <v>0</v>
      </c>
      <c r="Y19" s="30">
        <f t="shared" si="24"/>
        <v>0</v>
      </c>
    </row>
    <row r="20" spans="1:25" x14ac:dyDescent="0.2">
      <c r="A20" s="28" t="s">
        <v>30</v>
      </c>
      <c r="B20" s="30">
        <f t="shared" si="4"/>
        <v>6120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3320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5573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6878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1426</v>
      </c>
      <c r="S20" s="30">
        <f t="shared" si="18"/>
        <v>0</v>
      </c>
      <c r="T20" s="30">
        <f t="shared" si="19"/>
        <v>0</v>
      </c>
      <c r="U20" s="30">
        <f t="shared" si="20"/>
        <v>0</v>
      </c>
      <c r="V20" s="30">
        <f t="shared" si="21"/>
        <v>1320</v>
      </c>
      <c r="W20" s="30">
        <f t="shared" si="22"/>
        <v>0</v>
      </c>
      <c r="X20" s="30">
        <f t="shared" si="23"/>
        <v>0</v>
      </c>
      <c r="Y20" s="30">
        <f t="shared" si="24"/>
        <v>0</v>
      </c>
    </row>
    <row r="21" spans="1:25" x14ac:dyDescent="0.2">
      <c r="A21" s="28" t="s">
        <v>31</v>
      </c>
      <c r="B21" s="30">
        <f t="shared" si="4"/>
        <v>7140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3890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6668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8228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1686</v>
      </c>
      <c r="S21" s="30">
        <f t="shared" si="18"/>
        <v>0</v>
      </c>
      <c r="T21" s="30">
        <f t="shared" si="19"/>
        <v>0</v>
      </c>
      <c r="U21" s="30">
        <f t="shared" si="20"/>
        <v>0</v>
      </c>
      <c r="V21" s="30">
        <f t="shared" si="21"/>
        <v>1580</v>
      </c>
      <c r="W21" s="30">
        <f t="shared" si="22"/>
        <v>0</v>
      </c>
      <c r="X21" s="30">
        <f t="shared" si="23"/>
        <v>0</v>
      </c>
      <c r="Y21" s="30">
        <f t="shared" si="24"/>
        <v>0</v>
      </c>
    </row>
    <row r="22" spans="1:25" x14ac:dyDescent="0.2">
      <c r="A22" s="28" t="s">
        <v>32</v>
      </c>
      <c r="B22" s="30">
        <f t="shared" si="4"/>
        <v>8150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4440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10281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8805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1956</v>
      </c>
      <c r="S22" s="30">
        <f t="shared" si="18"/>
        <v>0</v>
      </c>
      <c r="T22" s="30">
        <f t="shared" si="19"/>
        <v>0</v>
      </c>
      <c r="U22" s="30">
        <f t="shared" si="20"/>
        <v>0</v>
      </c>
      <c r="V22" s="30">
        <f t="shared" si="21"/>
        <v>1834</v>
      </c>
      <c r="W22" s="30">
        <f t="shared" si="22"/>
        <v>0</v>
      </c>
      <c r="X22" s="30">
        <f t="shared" si="23"/>
        <v>0</v>
      </c>
      <c r="Y22" s="30">
        <f t="shared" si="24"/>
        <v>0</v>
      </c>
    </row>
    <row r="23" spans="1:25" x14ac:dyDescent="0.2">
      <c r="A23" s="28" t="s">
        <v>33</v>
      </c>
      <c r="B23" s="30">
        <f t="shared" si="4"/>
        <v>9180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4990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13901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9387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2236</v>
      </c>
      <c r="S23" s="30">
        <f t="shared" si="18"/>
        <v>0</v>
      </c>
      <c r="T23" s="30">
        <f t="shared" si="19"/>
        <v>0</v>
      </c>
      <c r="U23" s="30">
        <f t="shared" si="20"/>
        <v>0</v>
      </c>
      <c r="V23" s="30">
        <f t="shared" si="21"/>
        <v>2088</v>
      </c>
      <c r="W23" s="30">
        <f t="shared" si="22"/>
        <v>0</v>
      </c>
      <c r="X23" s="30">
        <f t="shared" si="23"/>
        <v>0</v>
      </c>
      <c r="Y23" s="30">
        <f t="shared" si="24"/>
        <v>0</v>
      </c>
    </row>
    <row r="24" spans="1:25" x14ac:dyDescent="0.2">
      <c r="A24" s="28" t="s">
        <v>34</v>
      </c>
      <c r="B24" s="30">
        <f t="shared" si="4"/>
        <v>10450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5590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17561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10017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2536</v>
      </c>
      <c r="S24" s="30">
        <f t="shared" si="18"/>
        <v>0</v>
      </c>
      <c r="T24" s="30">
        <f t="shared" si="19"/>
        <v>0</v>
      </c>
      <c r="U24" s="30">
        <f t="shared" si="20"/>
        <v>0</v>
      </c>
      <c r="V24" s="30">
        <f t="shared" si="21"/>
        <v>2352</v>
      </c>
      <c r="W24" s="30">
        <f t="shared" si="22"/>
        <v>0</v>
      </c>
      <c r="X24" s="30">
        <f t="shared" si="23"/>
        <v>0</v>
      </c>
      <c r="Y24" s="30">
        <f t="shared" si="24"/>
        <v>0</v>
      </c>
    </row>
    <row r="25" spans="1:25" x14ac:dyDescent="0.2">
      <c r="A25" s="29" t="s">
        <v>35</v>
      </c>
      <c r="B25" s="31">
        <f t="shared" si="4"/>
        <v>11790</v>
      </c>
      <c r="C25" s="31">
        <f t="shared" si="5"/>
        <v>0</v>
      </c>
      <c r="D25" s="31">
        <f t="shared" si="6"/>
        <v>0</v>
      </c>
      <c r="E25" s="31">
        <f t="shared" si="6"/>
        <v>0</v>
      </c>
      <c r="F25" s="31">
        <f t="shared" si="7"/>
        <v>6230</v>
      </c>
      <c r="G25" s="31">
        <f t="shared" si="8"/>
        <v>0</v>
      </c>
      <c r="H25" s="31">
        <f t="shared" si="9"/>
        <v>0</v>
      </c>
      <c r="I25" s="31">
        <f t="shared" si="9"/>
        <v>0</v>
      </c>
      <c r="J25" s="31">
        <f t="shared" si="10"/>
        <v>21322</v>
      </c>
      <c r="K25" s="31">
        <f t="shared" si="11"/>
        <v>0</v>
      </c>
      <c r="L25" s="31">
        <f t="shared" si="12"/>
        <v>0</v>
      </c>
      <c r="M25" s="31">
        <f t="shared" si="12"/>
        <v>0</v>
      </c>
      <c r="N25" s="31">
        <f t="shared" si="13"/>
        <v>10688</v>
      </c>
      <c r="O25" s="31">
        <f t="shared" si="14"/>
        <v>0</v>
      </c>
      <c r="P25" s="31">
        <f t="shared" si="15"/>
        <v>0</v>
      </c>
      <c r="Q25" s="31">
        <f t="shared" si="16"/>
        <v>0</v>
      </c>
      <c r="R25" s="31">
        <f t="shared" si="17"/>
        <v>2836</v>
      </c>
      <c r="S25" s="31">
        <f t="shared" si="18"/>
        <v>0</v>
      </c>
      <c r="T25" s="31">
        <f t="shared" si="19"/>
        <v>0</v>
      </c>
      <c r="U25" s="31">
        <f t="shared" si="20"/>
        <v>0</v>
      </c>
      <c r="V25" s="31">
        <f t="shared" si="21"/>
        <v>2616</v>
      </c>
      <c r="W25" s="31">
        <f t="shared" si="22"/>
        <v>0</v>
      </c>
      <c r="X25" s="31">
        <f t="shared" si="23"/>
        <v>0</v>
      </c>
      <c r="Y25" s="31">
        <f t="shared" si="24"/>
        <v>0</v>
      </c>
    </row>
    <row r="26" spans="1:25" x14ac:dyDescent="0.2">
      <c r="A26" s="29" t="s">
        <v>36</v>
      </c>
      <c r="B26" s="31">
        <f t="shared" si="4"/>
        <v>13170</v>
      </c>
      <c r="C26" s="31">
        <f t="shared" si="5"/>
        <v>0</v>
      </c>
      <c r="D26" s="31">
        <f t="shared" si="6"/>
        <v>0</v>
      </c>
      <c r="E26" s="31">
        <f t="shared" si="6"/>
        <v>0</v>
      </c>
      <c r="F26" s="31">
        <f t="shared" si="7"/>
        <v>6870</v>
      </c>
      <c r="G26" s="31">
        <f t="shared" si="8"/>
        <v>0</v>
      </c>
      <c r="H26" s="31">
        <f t="shared" si="9"/>
        <v>0</v>
      </c>
      <c r="I26" s="31">
        <f t="shared" si="9"/>
        <v>0</v>
      </c>
      <c r="J26" s="31">
        <f t="shared" si="10"/>
        <v>25132</v>
      </c>
      <c r="K26" s="31">
        <f t="shared" si="11"/>
        <v>0</v>
      </c>
      <c r="L26" s="31">
        <f t="shared" si="12"/>
        <v>0</v>
      </c>
      <c r="M26" s="31">
        <f t="shared" si="12"/>
        <v>0</v>
      </c>
      <c r="N26" s="31">
        <f t="shared" si="13"/>
        <v>11348</v>
      </c>
      <c r="O26" s="31">
        <f t="shared" si="14"/>
        <v>0</v>
      </c>
      <c r="P26" s="31">
        <f t="shared" si="15"/>
        <v>0</v>
      </c>
      <c r="Q26" s="31">
        <f t="shared" si="16"/>
        <v>0</v>
      </c>
      <c r="R26" s="31">
        <f t="shared" si="17"/>
        <v>3146</v>
      </c>
      <c r="S26" s="31">
        <f t="shared" si="18"/>
        <v>0</v>
      </c>
      <c r="T26" s="31">
        <f t="shared" si="19"/>
        <v>0</v>
      </c>
      <c r="U26" s="31">
        <f t="shared" si="20"/>
        <v>0</v>
      </c>
      <c r="V26" s="31">
        <f t="shared" si="21"/>
        <v>2880</v>
      </c>
      <c r="W26" s="31">
        <f t="shared" si="22"/>
        <v>0</v>
      </c>
      <c r="X26" s="31">
        <f t="shared" si="23"/>
        <v>0</v>
      </c>
      <c r="Y26" s="31">
        <f t="shared" si="24"/>
        <v>0</v>
      </c>
    </row>
    <row r="27" spans="1:25" x14ac:dyDescent="0.2">
      <c r="A27" s="12" t="s">
        <v>15</v>
      </c>
      <c r="B27" s="32">
        <f t="shared" si="4"/>
        <v>14500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7500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28853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11983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3444</v>
      </c>
      <c r="S27" s="32">
        <f t="shared" si="18"/>
        <v>0</v>
      </c>
      <c r="T27" s="32">
        <f t="shared" si="19"/>
        <v>0</v>
      </c>
      <c r="U27" s="32">
        <f t="shared" si="20"/>
        <v>0</v>
      </c>
      <c r="V27" s="32">
        <f t="shared" si="21"/>
        <v>3150</v>
      </c>
      <c r="W27" s="32">
        <f t="shared" si="22"/>
        <v>0</v>
      </c>
      <c r="X27" s="32">
        <f t="shared" si="23"/>
        <v>0</v>
      </c>
      <c r="Y27" s="32">
        <f t="shared" si="24"/>
        <v>0</v>
      </c>
    </row>
  </sheetData>
  <mergeCells count="8">
    <mergeCell ref="W2:Y2"/>
    <mergeCell ref="K2:M2"/>
    <mergeCell ref="F1:H1"/>
    <mergeCell ref="C2:E2"/>
    <mergeCell ref="B1:E1"/>
    <mergeCell ref="G2:I2"/>
    <mergeCell ref="O2:Q2"/>
    <mergeCell ref="S2:U2"/>
  </mergeCells>
  <phoneticPr fontId="0" type="noConversion"/>
  <pageMargins left="0" right="0" top="0" bottom="0" header="0" footer="0"/>
  <pageSetup paperSize="9" scale="6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I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3" width="11.5703125" customWidth="1"/>
    <col min="4" max="5" width="10.710937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9" x14ac:dyDescent="0.2">
      <c r="A1" s="2" t="s">
        <v>3</v>
      </c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240</v>
      </c>
      <c r="C4" s="22"/>
      <c r="D4" s="22"/>
      <c r="E4" s="22"/>
      <c r="F4" s="22">
        <v>332</v>
      </c>
      <c r="G4" s="22"/>
      <c r="H4" s="22"/>
      <c r="I4" s="125"/>
      <c r="J4" s="22">
        <v>740</v>
      </c>
      <c r="K4" s="22"/>
      <c r="L4" s="22"/>
      <c r="M4" s="22"/>
      <c r="N4" s="22">
        <v>895</v>
      </c>
      <c r="O4" s="22"/>
      <c r="P4" s="22"/>
      <c r="Q4" s="22"/>
      <c r="R4" s="22">
        <v>136</v>
      </c>
      <c r="S4" s="22"/>
      <c r="T4" s="22"/>
      <c r="U4" s="22"/>
      <c r="V4" s="22">
        <v>125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240</v>
      </c>
      <c r="C5" s="22"/>
      <c r="D5" s="22"/>
      <c r="E5" s="22"/>
      <c r="F5" s="22">
        <v>332</v>
      </c>
      <c r="G5" s="22"/>
      <c r="H5" s="22"/>
      <c r="I5" s="125"/>
      <c r="J5" s="22">
        <v>740</v>
      </c>
      <c r="K5" s="22"/>
      <c r="L5" s="22"/>
      <c r="M5" s="22"/>
      <c r="N5" s="22">
        <v>896</v>
      </c>
      <c r="O5" s="22"/>
      <c r="P5" s="22"/>
      <c r="Q5" s="22"/>
      <c r="R5" s="22">
        <v>136</v>
      </c>
      <c r="S5" s="22"/>
      <c r="T5" s="22"/>
      <c r="U5" s="22"/>
      <c r="V5" s="22">
        <v>125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240</v>
      </c>
      <c r="C6" s="22"/>
      <c r="D6" s="22"/>
      <c r="E6" s="22"/>
      <c r="F6" s="22">
        <v>332</v>
      </c>
      <c r="G6" s="22"/>
      <c r="H6" s="22"/>
      <c r="I6" s="125"/>
      <c r="J6" s="22">
        <v>745</v>
      </c>
      <c r="K6" s="22"/>
      <c r="L6" s="22"/>
      <c r="M6" s="22"/>
      <c r="N6" s="22">
        <v>896</v>
      </c>
      <c r="O6" s="22"/>
      <c r="P6" s="22"/>
      <c r="Q6" s="22"/>
      <c r="R6" s="22">
        <v>136</v>
      </c>
      <c r="S6" s="22"/>
      <c r="T6" s="22"/>
      <c r="U6" s="22"/>
      <c r="V6" s="22">
        <v>125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240</v>
      </c>
      <c r="C7" s="22"/>
      <c r="D7" s="22"/>
      <c r="E7" s="22"/>
      <c r="F7" s="22">
        <v>332</v>
      </c>
      <c r="G7" s="22"/>
      <c r="H7" s="22"/>
      <c r="I7" s="125"/>
      <c r="J7" s="125">
        <v>747</v>
      </c>
      <c r="K7" s="22"/>
      <c r="L7" s="22"/>
      <c r="M7" s="22"/>
      <c r="N7" s="22">
        <v>896</v>
      </c>
      <c r="O7" s="22"/>
      <c r="P7" s="22"/>
      <c r="Q7" s="22"/>
      <c r="R7" s="22">
        <v>136</v>
      </c>
      <c r="S7" s="22"/>
      <c r="T7" s="22"/>
      <c r="U7" s="22"/>
      <c r="V7" s="22">
        <v>125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240</v>
      </c>
      <c r="C8" s="22"/>
      <c r="D8" s="22"/>
      <c r="E8" s="22"/>
      <c r="F8" s="22">
        <v>333</v>
      </c>
      <c r="G8" s="22"/>
      <c r="H8" s="22"/>
      <c r="I8" s="125"/>
      <c r="J8" s="125">
        <v>748</v>
      </c>
      <c r="K8" s="22"/>
      <c r="L8" s="22"/>
      <c r="M8" s="22"/>
      <c r="N8" s="22">
        <v>897</v>
      </c>
      <c r="O8" s="22"/>
      <c r="P8" s="22"/>
      <c r="Q8" s="22"/>
      <c r="R8" s="22">
        <v>136</v>
      </c>
      <c r="S8" s="22"/>
      <c r="T8" s="22"/>
      <c r="U8" s="22"/>
      <c r="V8" s="22">
        <v>125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240</v>
      </c>
      <c r="C9" s="22"/>
      <c r="D9" s="22"/>
      <c r="E9" s="22"/>
      <c r="F9" s="22">
        <v>333</v>
      </c>
      <c r="G9" s="22"/>
      <c r="H9" s="22"/>
      <c r="I9" s="125"/>
      <c r="J9" s="125">
        <v>748</v>
      </c>
      <c r="K9" s="22"/>
      <c r="L9" s="22"/>
      <c r="M9" s="22"/>
      <c r="N9" s="22">
        <v>898</v>
      </c>
      <c r="O9" s="22"/>
      <c r="P9" s="22"/>
      <c r="Q9" s="22"/>
      <c r="R9" s="22">
        <v>136</v>
      </c>
      <c r="S9" s="22"/>
      <c r="T9" s="22"/>
      <c r="U9" s="22"/>
      <c r="V9" s="22">
        <v>125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240</v>
      </c>
      <c r="C10" s="22"/>
      <c r="D10" s="22"/>
      <c r="E10" s="22"/>
      <c r="F10" s="22">
        <v>534</v>
      </c>
      <c r="G10" s="22"/>
      <c r="H10" s="22"/>
      <c r="I10" s="125"/>
      <c r="J10" s="22">
        <v>5507</v>
      </c>
      <c r="K10" s="22"/>
      <c r="L10" s="22"/>
      <c r="M10" s="22"/>
      <c r="N10" s="22">
        <v>258</v>
      </c>
      <c r="O10" s="22"/>
      <c r="P10" s="22"/>
      <c r="Q10" s="22"/>
      <c r="R10" s="22">
        <v>290</v>
      </c>
      <c r="S10" s="22"/>
      <c r="T10" s="22"/>
      <c r="U10" s="22"/>
      <c r="V10" s="22">
        <f>108+16</f>
        <v>124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240</v>
      </c>
      <c r="C11" s="22"/>
      <c r="D11" s="22"/>
      <c r="E11" s="22"/>
      <c r="F11" s="22">
        <v>534</v>
      </c>
      <c r="G11" s="22"/>
      <c r="H11" s="22"/>
      <c r="I11" s="125"/>
      <c r="J11" s="22">
        <v>5508</v>
      </c>
      <c r="K11" s="22"/>
      <c r="L11" s="22"/>
      <c r="M11" s="22"/>
      <c r="N11" s="22">
        <v>259</v>
      </c>
      <c r="O11" s="22"/>
      <c r="P11" s="22"/>
      <c r="Q11" s="22"/>
      <c r="R11" s="22">
        <v>290</v>
      </c>
      <c r="S11" s="22"/>
      <c r="T11" s="22"/>
      <c r="U11" s="22"/>
      <c r="V11" s="22">
        <f>108+16</f>
        <v>124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240</v>
      </c>
      <c r="C12" s="22"/>
      <c r="D12" s="22"/>
      <c r="E12" s="22"/>
      <c r="F12" s="22">
        <v>534</v>
      </c>
      <c r="G12" s="22"/>
      <c r="H12" s="22"/>
      <c r="I12" s="125"/>
      <c r="J12" s="22">
        <v>5507</v>
      </c>
      <c r="K12" s="22"/>
      <c r="L12" s="22"/>
      <c r="M12" s="22"/>
      <c r="N12" s="22">
        <v>261</v>
      </c>
      <c r="O12" s="22"/>
      <c r="P12" s="22"/>
      <c r="Q12" s="22"/>
      <c r="R12" s="22">
        <v>290</v>
      </c>
      <c r="S12" s="22"/>
      <c r="T12" s="22"/>
      <c r="U12" s="22"/>
      <c r="V12" s="22">
        <f>108+17</f>
        <v>125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240</v>
      </c>
      <c r="C13" s="22"/>
      <c r="D13" s="22"/>
      <c r="E13" s="22"/>
      <c r="F13" s="22">
        <v>534</v>
      </c>
      <c r="G13" s="22"/>
      <c r="H13" s="22"/>
      <c r="I13" s="125"/>
      <c r="J13" s="22">
        <v>5507</v>
      </c>
      <c r="K13" s="22"/>
      <c r="L13" s="22"/>
      <c r="M13" s="22"/>
      <c r="N13" s="22">
        <v>264</v>
      </c>
      <c r="O13" s="22"/>
      <c r="P13" s="22"/>
      <c r="Q13" s="22"/>
      <c r="R13" s="22">
        <v>290</v>
      </c>
      <c r="S13" s="22"/>
      <c r="T13" s="22"/>
      <c r="U13" s="22"/>
      <c r="V13" s="22">
        <f>108+17</f>
        <v>125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240</v>
      </c>
      <c r="C14" s="22"/>
      <c r="D14" s="22"/>
      <c r="E14" s="22"/>
      <c r="F14" s="22">
        <v>534</v>
      </c>
      <c r="G14" s="22"/>
      <c r="H14" s="22"/>
      <c r="I14" s="125"/>
      <c r="J14" s="22">
        <v>5509</v>
      </c>
      <c r="K14" s="22"/>
      <c r="L14" s="22"/>
      <c r="M14" s="22"/>
      <c r="N14" s="22">
        <v>264</v>
      </c>
      <c r="O14" s="22"/>
      <c r="P14" s="22"/>
      <c r="Q14" s="22"/>
      <c r="R14" s="22">
        <v>290</v>
      </c>
      <c r="S14" s="22"/>
      <c r="T14" s="22"/>
      <c r="U14" s="22"/>
      <c r="V14" s="22">
        <f>109+17</f>
        <v>126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240</v>
      </c>
      <c r="C15" s="22"/>
      <c r="D15" s="22"/>
      <c r="E15" s="22"/>
      <c r="F15" s="22">
        <v>536</v>
      </c>
      <c r="G15" s="22"/>
      <c r="H15" s="22"/>
      <c r="I15" s="125"/>
      <c r="J15" s="22">
        <v>5512</v>
      </c>
      <c r="K15" s="22"/>
      <c r="L15" s="22"/>
      <c r="M15" s="22"/>
      <c r="N15" s="22">
        <v>265</v>
      </c>
      <c r="O15" s="22"/>
      <c r="P15" s="22"/>
      <c r="Q15" s="22"/>
      <c r="R15" s="22">
        <v>291</v>
      </c>
      <c r="S15" s="22"/>
      <c r="T15" s="22"/>
      <c r="U15" s="22"/>
      <c r="V15" s="22">
        <f>109+17</f>
        <v>126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2880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5200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37518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6949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2557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1500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480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664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1480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1791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272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250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/>
      <c r="B18" s="30">
        <f t="shared" ref="B18:AC27" si="2">B17+B6</f>
        <v>720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996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2225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2687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408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375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960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1328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2972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3583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544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500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1200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1661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3720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4480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680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625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1440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1994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4468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5378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816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750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1680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2528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9975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5636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1106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874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1920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3062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15483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5895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1396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998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2160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3596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20990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6156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1686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1123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2400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4130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26497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6420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1976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1248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2640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4664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32006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6684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2266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1374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2880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5200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37518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6949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2557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1500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.75" right="0.75" top="1" bottom="1" header="0.5" footer="0.5"/>
  <pageSetup paperSize="9" scale="3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2" bestFit="1" customWidth="1"/>
    <col min="5" max="5" width="12" customWidth="1"/>
    <col min="7" max="7" width="11" bestFit="1" customWidth="1"/>
    <col min="8" max="8" width="9.5703125" bestFit="1" customWidth="1"/>
    <col min="9" max="9" width="9.5703125" customWidth="1"/>
    <col min="12" max="12" width="12" bestFit="1" customWidth="1"/>
  </cols>
  <sheetData>
    <row r="1" spans="1:27" x14ac:dyDescent="0.2">
      <c r="A1" s="2"/>
      <c r="B1" s="365" t="s">
        <v>0</v>
      </c>
      <c r="C1" s="365"/>
      <c r="D1" s="365"/>
      <c r="E1" s="117"/>
      <c r="F1" s="359" t="s">
        <v>1</v>
      </c>
      <c r="G1" s="358"/>
      <c r="H1" s="358"/>
      <c r="I1" s="20"/>
      <c r="J1" s="19"/>
      <c r="K1" s="24" t="s">
        <v>2</v>
      </c>
      <c r="L1" s="25"/>
      <c r="N1" s="19"/>
      <c r="O1" s="24" t="s">
        <v>192</v>
      </c>
      <c r="P1" s="25"/>
      <c r="R1" s="19"/>
      <c r="S1" s="24" t="s">
        <v>193</v>
      </c>
      <c r="T1" s="25"/>
      <c r="W1" t="s">
        <v>253</v>
      </c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7" t="s">
        <v>6</v>
      </c>
      <c r="K2" s="359" t="s">
        <v>25</v>
      </c>
      <c r="L2" s="358"/>
      <c r="M2" s="362"/>
      <c r="N2" s="7" t="s">
        <v>6</v>
      </c>
      <c r="O2" s="359" t="s">
        <v>25</v>
      </c>
      <c r="P2" s="358"/>
      <c r="Q2" s="362"/>
      <c r="R2" s="7" t="s">
        <v>6</v>
      </c>
      <c r="S2" s="359" t="s">
        <v>25</v>
      </c>
      <c r="T2" s="358"/>
      <c r="U2" s="362"/>
    </row>
    <row r="3" spans="1:27" x14ac:dyDescent="0.2">
      <c r="A3" s="4"/>
      <c r="B3" s="9"/>
      <c r="C3" s="17" t="s">
        <v>27</v>
      </c>
      <c r="D3" s="15" t="s">
        <v>26</v>
      </c>
      <c r="E3" s="115" t="s">
        <v>127</v>
      </c>
      <c r="F3" s="9"/>
      <c r="G3" s="17" t="s">
        <v>27</v>
      </c>
      <c r="H3" s="15" t="s">
        <v>26</v>
      </c>
      <c r="I3" s="115" t="s">
        <v>127</v>
      </c>
      <c r="J3" s="7"/>
      <c r="K3" s="17" t="s">
        <v>27</v>
      </c>
      <c r="L3" s="15" t="s">
        <v>26</v>
      </c>
      <c r="M3" s="115" t="s">
        <v>127</v>
      </c>
      <c r="N3" s="7"/>
      <c r="O3" s="17" t="s">
        <v>27</v>
      </c>
      <c r="P3" s="15" t="s">
        <v>26</v>
      </c>
      <c r="Q3" s="115" t="s">
        <v>127</v>
      </c>
      <c r="R3" s="7"/>
      <c r="S3" s="17" t="s">
        <v>27</v>
      </c>
      <c r="T3" s="15" t="s">
        <v>26</v>
      </c>
      <c r="U3" s="115" t="s">
        <v>127</v>
      </c>
    </row>
    <row r="4" spans="1:27" x14ac:dyDescent="0.2">
      <c r="A4" s="1" t="s">
        <v>4</v>
      </c>
      <c r="B4" s="22">
        <v>3400</v>
      </c>
      <c r="C4" s="22"/>
      <c r="D4" s="22"/>
      <c r="E4" s="22"/>
      <c r="F4" s="22">
        <v>600</v>
      </c>
      <c r="G4" s="22"/>
      <c r="H4" s="22"/>
      <c r="I4" s="22"/>
      <c r="J4" s="22">
        <v>4697</v>
      </c>
      <c r="K4" s="22"/>
      <c r="L4" s="22"/>
      <c r="M4" s="124"/>
      <c r="N4" s="22"/>
      <c r="O4" s="22"/>
      <c r="P4" s="22"/>
      <c r="Q4" s="124"/>
      <c r="R4" s="22"/>
      <c r="S4" s="22"/>
      <c r="T4" s="22"/>
      <c r="U4" s="124"/>
    </row>
    <row r="5" spans="1:27" x14ac:dyDescent="0.2">
      <c r="A5" s="1" t="s">
        <v>7</v>
      </c>
      <c r="B5" s="22">
        <v>3620</v>
      </c>
      <c r="C5" s="22"/>
      <c r="D5" s="22"/>
      <c r="E5" s="22"/>
      <c r="F5" s="22">
        <v>600</v>
      </c>
      <c r="G5" s="22"/>
      <c r="H5" s="22"/>
      <c r="I5" s="22"/>
      <c r="J5" s="22">
        <v>5197</v>
      </c>
      <c r="K5" s="22"/>
      <c r="L5" s="22"/>
      <c r="M5" s="124"/>
      <c r="N5" s="22"/>
      <c r="O5" s="22"/>
      <c r="P5" s="22"/>
      <c r="Q5" s="124"/>
      <c r="R5" s="22"/>
      <c r="S5" s="22"/>
      <c r="T5" s="22"/>
      <c r="U5" s="124"/>
    </row>
    <row r="6" spans="1:27" x14ac:dyDescent="0.2">
      <c r="A6" s="1" t="s">
        <v>8</v>
      </c>
      <c r="B6" s="22">
        <v>3620</v>
      </c>
      <c r="C6" s="22"/>
      <c r="D6" s="22"/>
      <c r="E6" s="22"/>
      <c r="F6" s="22">
        <v>730</v>
      </c>
      <c r="G6" s="22"/>
      <c r="H6" s="22"/>
      <c r="I6" s="22"/>
      <c r="J6" s="22">
        <v>4939</v>
      </c>
      <c r="K6" s="22"/>
      <c r="L6" s="22"/>
      <c r="M6" s="124"/>
      <c r="N6" s="22"/>
      <c r="O6" s="22"/>
      <c r="P6" s="22"/>
      <c r="Q6" s="124"/>
      <c r="R6" s="22"/>
      <c r="S6" s="22"/>
      <c r="T6" s="22"/>
      <c r="U6" s="124"/>
    </row>
    <row r="7" spans="1:27" x14ac:dyDescent="0.2">
      <c r="A7" s="1" t="s">
        <v>16</v>
      </c>
      <c r="B7" s="22">
        <v>3620</v>
      </c>
      <c r="C7" s="22"/>
      <c r="D7" s="22"/>
      <c r="E7" s="22"/>
      <c r="F7" s="22">
        <v>730</v>
      </c>
      <c r="G7" s="22"/>
      <c r="H7" s="22"/>
      <c r="I7" s="22"/>
      <c r="J7" s="22">
        <v>5402</v>
      </c>
      <c r="K7" s="22"/>
      <c r="L7" s="22"/>
      <c r="M7" s="124"/>
      <c r="N7" s="22"/>
      <c r="O7" s="22"/>
      <c r="P7" s="22"/>
      <c r="Q7" s="124"/>
      <c r="R7" s="22"/>
      <c r="S7" s="22"/>
      <c r="T7" s="22"/>
      <c r="U7" s="124"/>
    </row>
    <row r="8" spans="1:27" x14ac:dyDescent="0.2">
      <c r="A8" s="1" t="s">
        <v>17</v>
      </c>
      <c r="B8" s="22">
        <v>3620</v>
      </c>
      <c r="C8" s="22"/>
      <c r="D8" s="22"/>
      <c r="E8" s="22"/>
      <c r="F8" s="22">
        <v>730</v>
      </c>
      <c r="G8" s="22"/>
      <c r="H8" s="22"/>
      <c r="I8" s="22"/>
      <c r="J8" s="22">
        <v>4492</v>
      </c>
      <c r="K8" s="22"/>
      <c r="L8" s="22"/>
      <c r="M8" s="124"/>
      <c r="N8" s="22"/>
      <c r="O8" s="22"/>
      <c r="P8" s="22"/>
      <c r="Q8" s="124"/>
      <c r="R8" s="22"/>
      <c r="S8" s="22"/>
      <c r="T8" s="22"/>
      <c r="U8" s="124"/>
    </row>
    <row r="9" spans="1:27" x14ac:dyDescent="0.2">
      <c r="A9" s="1" t="s">
        <v>18</v>
      </c>
      <c r="B9" s="22">
        <v>3620</v>
      </c>
      <c r="C9" s="22"/>
      <c r="D9" s="22"/>
      <c r="E9" s="22"/>
      <c r="F9" s="22">
        <v>730</v>
      </c>
      <c r="G9" s="22"/>
      <c r="H9" s="22"/>
      <c r="I9" s="22"/>
      <c r="J9" s="22">
        <v>4608</v>
      </c>
      <c r="K9" s="22"/>
      <c r="L9" s="22"/>
      <c r="M9" s="124"/>
      <c r="N9" s="22"/>
      <c r="O9" s="22"/>
      <c r="P9" s="22"/>
      <c r="Q9" s="124"/>
      <c r="R9" s="22"/>
      <c r="S9" s="22"/>
      <c r="T9" s="22"/>
      <c r="U9" s="124"/>
    </row>
    <row r="10" spans="1:27" x14ac:dyDescent="0.2">
      <c r="A10" s="82" t="s">
        <v>19</v>
      </c>
      <c r="B10" s="22">
        <v>3620</v>
      </c>
      <c r="C10" s="22"/>
      <c r="D10" s="22"/>
      <c r="E10" s="22"/>
      <c r="F10" s="22">
        <v>713</v>
      </c>
      <c r="G10" s="22"/>
      <c r="H10" s="22"/>
      <c r="I10" s="22"/>
      <c r="J10" s="22">
        <v>4957</v>
      </c>
      <c r="K10" s="22"/>
      <c r="L10" s="22"/>
      <c r="M10" s="124"/>
      <c r="N10" s="22"/>
      <c r="O10" s="22"/>
      <c r="P10" s="22"/>
      <c r="Q10" s="124"/>
      <c r="R10" s="22">
        <v>416</v>
      </c>
      <c r="S10" s="22"/>
      <c r="T10" s="22"/>
      <c r="U10" s="124"/>
    </row>
    <row r="11" spans="1:27" x14ac:dyDescent="0.2">
      <c r="A11" s="1" t="s">
        <v>10</v>
      </c>
      <c r="B11" s="22">
        <v>3620</v>
      </c>
      <c r="C11" s="22"/>
      <c r="D11" s="22"/>
      <c r="E11" s="22"/>
      <c r="F11" s="22">
        <v>713</v>
      </c>
      <c r="G11" s="22"/>
      <c r="H11" s="22"/>
      <c r="I11" s="22"/>
      <c r="J11" s="22">
        <v>5173</v>
      </c>
      <c r="K11" s="22"/>
      <c r="L11" s="22"/>
      <c r="M11" s="124"/>
      <c r="N11" s="22"/>
      <c r="O11" s="22"/>
      <c r="P11" s="22"/>
      <c r="Q11" s="124"/>
      <c r="R11" s="22">
        <v>416</v>
      </c>
      <c r="S11" s="22"/>
      <c r="T11" s="22"/>
      <c r="U11" s="124"/>
    </row>
    <row r="12" spans="1:27" x14ac:dyDescent="0.2">
      <c r="A12" s="1" t="s">
        <v>11</v>
      </c>
      <c r="B12" s="22">
        <v>3620</v>
      </c>
      <c r="C12" s="22"/>
      <c r="D12" s="22"/>
      <c r="E12" s="22"/>
      <c r="F12" s="22">
        <v>713</v>
      </c>
      <c r="G12" s="22"/>
      <c r="H12" s="22"/>
      <c r="I12" s="22"/>
      <c r="J12" s="22">
        <v>5173</v>
      </c>
      <c r="K12" s="22"/>
      <c r="L12" s="22"/>
      <c r="M12" s="124"/>
      <c r="N12" s="22">
        <v>187</v>
      </c>
      <c r="O12" s="22"/>
      <c r="P12" s="22"/>
      <c r="Q12" s="124"/>
      <c r="R12" s="22">
        <v>416</v>
      </c>
      <c r="S12" s="22"/>
      <c r="T12" s="22"/>
      <c r="U12" s="124"/>
    </row>
    <row r="13" spans="1:27" x14ac:dyDescent="0.2">
      <c r="A13" s="1" t="s">
        <v>12</v>
      </c>
      <c r="B13" s="22">
        <v>3620</v>
      </c>
      <c r="C13" s="22"/>
      <c r="D13" s="22"/>
      <c r="E13" s="22"/>
      <c r="F13" s="22">
        <v>713</v>
      </c>
      <c r="G13" s="22"/>
      <c r="H13" s="22"/>
      <c r="I13" s="22"/>
      <c r="J13" s="22"/>
      <c r="K13" s="22"/>
      <c r="L13" s="22"/>
      <c r="M13" s="124"/>
      <c r="N13" s="22">
        <v>187</v>
      </c>
      <c r="O13" s="22"/>
      <c r="P13" s="22"/>
      <c r="Q13" s="124"/>
      <c r="R13" s="22">
        <v>416</v>
      </c>
      <c r="S13" s="22"/>
      <c r="T13" s="22"/>
      <c r="U13" s="124"/>
    </row>
    <row r="14" spans="1:27" x14ac:dyDescent="0.2">
      <c r="A14" s="1" t="s">
        <v>13</v>
      </c>
      <c r="B14" s="22">
        <v>3620</v>
      </c>
      <c r="C14" s="22"/>
      <c r="D14" s="22"/>
      <c r="E14" s="22"/>
      <c r="F14" s="22">
        <v>714</v>
      </c>
      <c r="G14" s="22"/>
      <c r="H14" s="22"/>
      <c r="I14" s="22"/>
      <c r="J14" s="22"/>
      <c r="K14" s="22"/>
      <c r="L14" s="22"/>
      <c r="M14" s="124"/>
      <c r="N14" s="22">
        <v>188</v>
      </c>
      <c r="O14" s="22"/>
      <c r="P14" s="22"/>
      <c r="Q14" s="124"/>
      <c r="R14" s="22">
        <v>416</v>
      </c>
      <c r="S14" s="22"/>
      <c r="T14" s="22"/>
      <c r="U14" s="124"/>
    </row>
    <row r="15" spans="1:27" x14ac:dyDescent="0.2">
      <c r="A15" s="1" t="s">
        <v>14</v>
      </c>
      <c r="B15" s="22">
        <v>3400</v>
      </c>
      <c r="C15" s="22"/>
      <c r="D15" s="22"/>
      <c r="E15" s="22"/>
      <c r="F15" s="22">
        <v>714</v>
      </c>
      <c r="G15" s="22"/>
      <c r="H15" s="22"/>
      <c r="I15" s="22"/>
      <c r="J15" s="22"/>
      <c r="K15" s="22"/>
      <c r="L15" s="22"/>
      <c r="M15" s="124"/>
      <c r="N15" s="22">
        <v>188</v>
      </c>
      <c r="O15" s="22"/>
      <c r="P15" s="22"/>
      <c r="Q15" s="124"/>
      <c r="R15" s="22">
        <v>420</v>
      </c>
      <c r="S15" s="22"/>
      <c r="T15" s="22"/>
      <c r="U15" s="124"/>
    </row>
    <row r="16" spans="1:27" x14ac:dyDescent="0.2">
      <c r="A16" s="1" t="s">
        <v>6</v>
      </c>
      <c r="B16" s="22">
        <f>SUM(B4:B15)</f>
        <v>43000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8400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44638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U16" si="1">SUM(N4:N15)</f>
        <v>750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2500</v>
      </c>
      <c r="S16" s="22">
        <f t="shared" si="1"/>
        <v>0</v>
      </c>
      <c r="T16" s="22">
        <f t="shared" si="1"/>
        <v>0</v>
      </c>
      <c r="U16" s="22">
        <f t="shared" si="1"/>
        <v>0</v>
      </c>
    </row>
    <row r="17" spans="1:21" x14ac:dyDescent="0.2">
      <c r="A17" s="28" t="s">
        <v>28</v>
      </c>
      <c r="B17" s="30">
        <f t="shared" ref="B17:L17" si="2">B4+B5</f>
        <v>7020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1200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9894</v>
      </c>
      <c r="K17" s="30">
        <f t="shared" si="2"/>
        <v>0</v>
      </c>
      <c r="L17" s="30">
        <f t="shared" si="2"/>
        <v>0</v>
      </c>
      <c r="M17" s="30">
        <f t="shared" ref="M17:U17" si="3">M4+M5</f>
        <v>0</v>
      </c>
      <c r="N17" s="30">
        <f t="shared" si="3"/>
        <v>0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30">
        <f t="shared" si="3"/>
        <v>0</v>
      </c>
    </row>
    <row r="18" spans="1:21" x14ac:dyDescent="0.2">
      <c r="A18" s="28" t="s">
        <v>100</v>
      </c>
      <c r="B18" s="30">
        <f t="shared" ref="B18:B27" si="4">B17+B6</f>
        <v>10640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1930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14833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0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0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</row>
    <row r="19" spans="1:21" x14ac:dyDescent="0.2">
      <c r="A19" s="28" t="s">
        <v>29</v>
      </c>
      <c r="B19" s="30">
        <f t="shared" si="4"/>
        <v>14260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2660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20235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0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0</v>
      </c>
      <c r="S19" s="30">
        <f t="shared" si="18"/>
        <v>0</v>
      </c>
      <c r="T19" s="30">
        <f t="shared" si="19"/>
        <v>0</v>
      </c>
      <c r="U19" s="30">
        <f t="shared" si="20"/>
        <v>0</v>
      </c>
    </row>
    <row r="20" spans="1:21" x14ac:dyDescent="0.2">
      <c r="A20" s="28" t="s">
        <v>30</v>
      </c>
      <c r="B20" s="30">
        <f t="shared" si="4"/>
        <v>17880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3390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24727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0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0</v>
      </c>
      <c r="S20" s="30">
        <f t="shared" si="18"/>
        <v>0</v>
      </c>
      <c r="T20" s="30">
        <f t="shared" si="19"/>
        <v>0</v>
      </c>
      <c r="U20" s="30">
        <f t="shared" si="20"/>
        <v>0</v>
      </c>
    </row>
    <row r="21" spans="1:21" x14ac:dyDescent="0.2">
      <c r="A21" s="28" t="s">
        <v>31</v>
      </c>
      <c r="B21" s="30">
        <f t="shared" si="4"/>
        <v>21500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4120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29335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0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0</v>
      </c>
      <c r="S21" s="30">
        <f t="shared" si="18"/>
        <v>0</v>
      </c>
      <c r="T21" s="30">
        <f t="shared" si="19"/>
        <v>0</v>
      </c>
      <c r="U21" s="30">
        <f t="shared" si="20"/>
        <v>0</v>
      </c>
    </row>
    <row r="22" spans="1:21" x14ac:dyDescent="0.2">
      <c r="A22" s="28" t="s">
        <v>32</v>
      </c>
      <c r="B22" s="30">
        <f t="shared" si="4"/>
        <v>25120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4833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34292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0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416</v>
      </c>
      <c r="S22" s="30">
        <f t="shared" si="18"/>
        <v>0</v>
      </c>
      <c r="T22" s="30">
        <f t="shared" si="19"/>
        <v>0</v>
      </c>
      <c r="U22" s="30">
        <f t="shared" si="20"/>
        <v>0</v>
      </c>
    </row>
    <row r="23" spans="1:21" x14ac:dyDescent="0.2">
      <c r="A23" s="28" t="s">
        <v>33</v>
      </c>
      <c r="B23" s="30">
        <f t="shared" si="4"/>
        <v>28740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5546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39465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0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832</v>
      </c>
      <c r="S23" s="30">
        <f t="shared" si="18"/>
        <v>0</v>
      </c>
      <c r="T23" s="30">
        <f t="shared" si="19"/>
        <v>0</v>
      </c>
      <c r="U23" s="30">
        <f t="shared" si="20"/>
        <v>0</v>
      </c>
    </row>
    <row r="24" spans="1:21" x14ac:dyDescent="0.2">
      <c r="A24" s="28" t="s">
        <v>34</v>
      </c>
      <c r="B24" s="30">
        <f t="shared" si="4"/>
        <v>32360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6259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44638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187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1248</v>
      </c>
      <c r="S24" s="30">
        <f t="shared" si="18"/>
        <v>0</v>
      </c>
      <c r="T24" s="30">
        <f t="shared" si="19"/>
        <v>0</v>
      </c>
      <c r="U24" s="30">
        <f t="shared" si="20"/>
        <v>0</v>
      </c>
    </row>
    <row r="25" spans="1:21" x14ac:dyDescent="0.2">
      <c r="A25" s="29" t="s">
        <v>35</v>
      </c>
      <c r="B25" s="30">
        <f t="shared" si="4"/>
        <v>35980</v>
      </c>
      <c r="C25" s="30">
        <f t="shared" si="5"/>
        <v>0</v>
      </c>
      <c r="D25" s="30">
        <f t="shared" si="6"/>
        <v>0</v>
      </c>
      <c r="E25" s="30">
        <f t="shared" si="6"/>
        <v>0</v>
      </c>
      <c r="F25" s="30">
        <f t="shared" si="7"/>
        <v>6972</v>
      </c>
      <c r="G25" s="30">
        <f t="shared" si="8"/>
        <v>0</v>
      </c>
      <c r="H25" s="30">
        <f t="shared" si="9"/>
        <v>0</v>
      </c>
      <c r="I25" s="30">
        <f t="shared" si="9"/>
        <v>0</v>
      </c>
      <c r="J25" s="30">
        <f t="shared" si="10"/>
        <v>44638</v>
      </c>
      <c r="K25" s="30">
        <f t="shared" si="11"/>
        <v>0</v>
      </c>
      <c r="L25" s="30">
        <f t="shared" si="12"/>
        <v>0</v>
      </c>
      <c r="M25" s="30">
        <f t="shared" si="12"/>
        <v>0</v>
      </c>
      <c r="N25" s="30">
        <f t="shared" si="13"/>
        <v>374</v>
      </c>
      <c r="O25" s="30">
        <f t="shared" si="14"/>
        <v>0</v>
      </c>
      <c r="P25" s="30">
        <f t="shared" si="15"/>
        <v>0</v>
      </c>
      <c r="Q25" s="30">
        <f t="shared" si="16"/>
        <v>0</v>
      </c>
      <c r="R25" s="30">
        <f t="shared" si="17"/>
        <v>1664</v>
      </c>
      <c r="S25" s="30">
        <f t="shared" si="18"/>
        <v>0</v>
      </c>
      <c r="T25" s="30">
        <f t="shared" si="19"/>
        <v>0</v>
      </c>
      <c r="U25" s="30">
        <f t="shared" si="20"/>
        <v>0</v>
      </c>
    </row>
    <row r="26" spans="1:21" x14ac:dyDescent="0.2">
      <c r="A26" s="29" t="s">
        <v>36</v>
      </c>
      <c r="B26" s="30">
        <f t="shared" si="4"/>
        <v>39600</v>
      </c>
      <c r="C26" s="30">
        <f t="shared" si="5"/>
        <v>0</v>
      </c>
      <c r="D26" s="30">
        <f t="shared" si="6"/>
        <v>0</v>
      </c>
      <c r="E26" s="30">
        <f t="shared" si="6"/>
        <v>0</v>
      </c>
      <c r="F26" s="30">
        <f t="shared" si="7"/>
        <v>7686</v>
      </c>
      <c r="G26" s="30">
        <f t="shared" si="8"/>
        <v>0</v>
      </c>
      <c r="H26" s="30">
        <f t="shared" si="9"/>
        <v>0</v>
      </c>
      <c r="I26" s="30">
        <f t="shared" si="9"/>
        <v>0</v>
      </c>
      <c r="J26" s="30">
        <f t="shared" si="10"/>
        <v>44638</v>
      </c>
      <c r="K26" s="30">
        <f t="shared" si="11"/>
        <v>0</v>
      </c>
      <c r="L26" s="30">
        <f t="shared" si="12"/>
        <v>0</v>
      </c>
      <c r="M26" s="30">
        <f t="shared" si="12"/>
        <v>0</v>
      </c>
      <c r="N26" s="30">
        <f t="shared" si="13"/>
        <v>562</v>
      </c>
      <c r="O26" s="30">
        <f t="shared" si="14"/>
        <v>0</v>
      </c>
      <c r="P26" s="30">
        <f t="shared" si="15"/>
        <v>0</v>
      </c>
      <c r="Q26" s="30">
        <f t="shared" si="16"/>
        <v>0</v>
      </c>
      <c r="R26" s="30">
        <f t="shared" si="17"/>
        <v>2080</v>
      </c>
      <c r="S26" s="30">
        <f t="shared" si="18"/>
        <v>0</v>
      </c>
      <c r="T26" s="30">
        <f t="shared" si="19"/>
        <v>0</v>
      </c>
      <c r="U26" s="30">
        <f t="shared" si="20"/>
        <v>0</v>
      </c>
    </row>
    <row r="27" spans="1:21" x14ac:dyDescent="0.2">
      <c r="A27" s="12" t="s">
        <v>15</v>
      </c>
      <c r="B27" s="32">
        <f t="shared" si="4"/>
        <v>43000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8400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44638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750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2500</v>
      </c>
      <c r="S27" s="32">
        <f t="shared" si="18"/>
        <v>0</v>
      </c>
      <c r="T27" s="32">
        <f t="shared" si="19"/>
        <v>0</v>
      </c>
      <c r="U27" s="32">
        <f t="shared" si="20"/>
        <v>0</v>
      </c>
    </row>
  </sheetData>
  <mergeCells count="7">
    <mergeCell ref="O2:Q2"/>
    <mergeCell ref="S2:U2"/>
    <mergeCell ref="K2:M2"/>
    <mergeCell ref="B1:D1"/>
    <mergeCell ref="F1:H1"/>
    <mergeCell ref="C2:E2"/>
    <mergeCell ref="G2:I2"/>
  </mergeCells>
  <phoneticPr fontId="0" type="noConversion"/>
  <pageMargins left="0" right="0" top="0" bottom="0" header="0.51181102362204722" footer="0.51181102362204722"/>
  <pageSetup paperSize="9" scale="4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workbookViewId="0">
      <pane xSplit="1" ySplit="3" topLeftCell="E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11.28515625" customWidth="1"/>
    <col min="3" max="4" width="12.5703125" bestFit="1" customWidth="1"/>
    <col min="5" max="5" width="12.5703125" customWidth="1"/>
    <col min="7" max="7" width="11" bestFit="1" customWidth="1"/>
    <col min="8" max="8" width="10.5703125" bestFit="1" customWidth="1"/>
    <col min="9" max="9" width="10.5703125" customWidth="1"/>
    <col min="12" max="12" width="11" bestFit="1" customWidth="1"/>
  </cols>
  <sheetData>
    <row r="1" spans="1:27" x14ac:dyDescent="0.2">
      <c r="A1" s="2"/>
      <c r="B1" s="357"/>
      <c r="C1" s="358"/>
      <c r="D1" s="357"/>
      <c r="E1" s="114"/>
      <c r="F1" s="359" t="s">
        <v>21</v>
      </c>
      <c r="G1" s="358"/>
      <c r="H1" s="358"/>
      <c r="I1" s="20"/>
      <c r="J1" s="19"/>
      <c r="K1" s="24" t="s">
        <v>22</v>
      </c>
      <c r="L1" s="25"/>
      <c r="N1" s="19"/>
      <c r="O1" s="24" t="s">
        <v>185</v>
      </c>
      <c r="P1" s="25"/>
      <c r="R1" s="19"/>
      <c r="S1" s="24" t="s">
        <v>193</v>
      </c>
      <c r="T1" s="25"/>
      <c r="W1" t="s">
        <v>173</v>
      </c>
      <c r="AA1" t="s">
        <v>173</v>
      </c>
    </row>
    <row r="2" spans="1:27" x14ac:dyDescent="0.2">
      <c r="A2" s="3" t="s">
        <v>3</v>
      </c>
      <c r="B2" s="11" t="s">
        <v>6</v>
      </c>
      <c r="C2" s="359" t="s">
        <v>25</v>
      </c>
      <c r="D2" s="362"/>
      <c r="E2" s="120"/>
      <c r="F2" s="11" t="s">
        <v>6</v>
      </c>
      <c r="G2" s="359" t="s">
        <v>25</v>
      </c>
      <c r="H2" s="362"/>
      <c r="I2" s="20"/>
      <c r="J2" s="10" t="s">
        <v>6</v>
      </c>
      <c r="K2" s="359" t="s">
        <v>25</v>
      </c>
      <c r="L2" s="362"/>
      <c r="N2" s="10" t="s">
        <v>6</v>
      </c>
      <c r="O2" s="359" t="s">
        <v>25</v>
      </c>
      <c r="P2" s="362"/>
      <c r="R2" s="10" t="s">
        <v>6</v>
      </c>
      <c r="S2" s="359" t="s">
        <v>25</v>
      </c>
      <c r="T2" s="362"/>
    </row>
    <row r="3" spans="1:27" x14ac:dyDescent="0.2">
      <c r="A3" s="4"/>
      <c r="B3" s="11"/>
      <c r="C3" s="20" t="s">
        <v>27</v>
      </c>
      <c r="D3" s="21" t="s">
        <v>26</v>
      </c>
      <c r="E3" s="120" t="s">
        <v>127</v>
      </c>
      <c r="F3" s="11"/>
      <c r="G3" s="20" t="s">
        <v>27</v>
      </c>
      <c r="H3" s="21" t="s">
        <v>26</v>
      </c>
      <c r="I3" s="20" t="s">
        <v>105</v>
      </c>
      <c r="J3" s="10"/>
      <c r="K3" s="20" t="s">
        <v>27</v>
      </c>
      <c r="L3" s="21" t="s">
        <v>26</v>
      </c>
      <c r="M3" s="121" t="s">
        <v>105</v>
      </c>
      <c r="N3" s="10"/>
      <c r="O3" s="20" t="s">
        <v>27</v>
      </c>
      <c r="P3" s="21" t="s">
        <v>26</v>
      </c>
      <c r="Q3" s="121" t="s">
        <v>105</v>
      </c>
      <c r="R3" s="10"/>
      <c r="S3" s="20" t="s">
        <v>27</v>
      </c>
      <c r="T3" s="21" t="s">
        <v>26</v>
      </c>
      <c r="U3" s="121" t="s">
        <v>105</v>
      </c>
    </row>
    <row r="4" spans="1:27" x14ac:dyDescent="0.2">
      <c r="A4" s="1" t="s">
        <v>4</v>
      </c>
      <c r="B4" s="22">
        <v>18509</v>
      </c>
      <c r="C4" s="22"/>
      <c r="D4" s="22"/>
      <c r="E4" s="22"/>
      <c r="F4" s="22">
        <v>3960</v>
      </c>
      <c r="G4" s="22"/>
      <c r="H4" s="22"/>
      <c r="I4" s="20"/>
      <c r="J4" s="22">
        <v>22640</v>
      </c>
      <c r="K4" s="22"/>
      <c r="L4" s="22"/>
      <c r="M4" s="22"/>
      <c r="N4" s="22">
        <v>7086</v>
      </c>
      <c r="O4" s="22"/>
      <c r="P4" s="22"/>
      <c r="Q4" s="22"/>
      <c r="R4" s="22">
        <v>868</v>
      </c>
      <c r="S4" s="22"/>
      <c r="T4" s="22"/>
      <c r="U4" s="22"/>
    </row>
    <row r="5" spans="1:27" x14ac:dyDescent="0.2">
      <c r="A5" s="1" t="s">
        <v>7</v>
      </c>
      <c r="B5" s="22">
        <v>18513</v>
      </c>
      <c r="C5" s="22"/>
      <c r="D5" s="22"/>
      <c r="E5" s="22"/>
      <c r="F5" s="22">
        <v>4000</v>
      </c>
      <c r="G5" s="22"/>
      <c r="H5" s="22"/>
      <c r="I5" s="22"/>
      <c r="J5" s="22">
        <v>22650</v>
      </c>
      <c r="K5" s="22"/>
      <c r="L5" s="22"/>
      <c r="M5" s="22"/>
      <c r="N5" s="22">
        <v>7290</v>
      </c>
      <c r="O5" s="22"/>
      <c r="P5" s="22"/>
      <c r="Q5" s="22"/>
      <c r="R5" s="22">
        <v>889</v>
      </c>
      <c r="S5" s="22"/>
      <c r="T5" s="22"/>
      <c r="U5" s="22"/>
    </row>
    <row r="6" spans="1:27" x14ac:dyDescent="0.2">
      <c r="A6" s="1" t="s">
        <v>8</v>
      </c>
      <c r="B6" s="22">
        <v>18718</v>
      </c>
      <c r="C6" s="22"/>
      <c r="D6" s="22"/>
      <c r="E6" s="22"/>
      <c r="F6" s="22">
        <v>4010</v>
      </c>
      <c r="G6" s="22"/>
      <c r="H6" s="22"/>
      <c r="I6" s="22"/>
      <c r="J6" s="22">
        <v>22650</v>
      </c>
      <c r="K6" s="22"/>
      <c r="L6" s="22"/>
      <c r="M6" s="22"/>
      <c r="N6" s="22">
        <v>7329</v>
      </c>
      <c r="O6" s="22"/>
      <c r="P6" s="22"/>
      <c r="Q6" s="22"/>
      <c r="R6" s="22">
        <v>895</v>
      </c>
      <c r="S6" s="22"/>
      <c r="T6" s="22"/>
      <c r="U6" s="22"/>
    </row>
    <row r="7" spans="1:27" x14ac:dyDescent="0.2">
      <c r="A7" s="1" t="s">
        <v>16</v>
      </c>
      <c r="B7" s="22">
        <v>19763</v>
      </c>
      <c r="C7" s="22"/>
      <c r="D7" s="22"/>
      <c r="E7" s="22"/>
      <c r="F7" s="22">
        <v>4840</v>
      </c>
      <c r="G7" s="22"/>
      <c r="H7" s="22"/>
      <c r="I7" s="22"/>
      <c r="J7" s="22">
        <v>21415</v>
      </c>
      <c r="K7" s="22"/>
      <c r="L7" s="22"/>
      <c r="M7" s="22"/>
      <c r="N7" s="22">
        <v>7479</v>
      </c>
      <c r="O7" s="22"/>
      <c r="P7" s="22"/>
      <c r="Q7" s="22"/>
      <c r="R7" s="22">
        <v>895</v>
      </c>
      <c r="S7" s="22"/>
      <c r="T7" s="22"/>
      <c r="U7" s="22"/>
    </row>
    <row r="8" spans="1:27" x14ac:dyDescent="0.2">
      <c r="A8" s="1" t="s">
        <v>17</v>
      </c>
      <c r="B8" s="22">
        <v>19764</v>
      </c>
      <c r="C8" s="22"/>
      <c r="D8" s="22"/>
      <c r="E8" s="22"/>
      <c r="F8" s="22">
        <v>4810</v>
      </c>
      <c r="G8" s="22"/>
      <c r="H8" s="22"/>
      <c r="I8" s="22"/>
      <c r="J8" s="22">
        <v>21410</v>
      </c>
      <c r="K8" s="22"/>
      <c r="L8" s="22"/>
      <c r="M8" s="22"/>
      <c r="N8" s="22">
        <v>7449</v>
      </c>
      <c r="O8" s="22"/>
      <c r="P8" s="22"/>
      <c r="Q8" s="22"/>
      <c r="R8" s="22">
        <v>880</v>
      </c>
      <c r="S8" s="22"/>
      <c r="T8" s="22"/>
      <c r="U8" s="22"/>
    </row>
    <row r="9" spans="1:27" x14ac:dyDescent="0.2">
      <c r="A9" s="1" t="s">
        <v>18</v>
      </c>
      <c r="B9" s="22">
        <v>19870</v>
      </c>
      <c r="C9" s="22"/>
      <c r="D9" s="22"/>
      <c r="E9" s="22"/>
      <c r="F9" s="22">
        <v>4800</v>
      </c>
      <c r="G9" s="22"/>
      <c r="H9" s="22"/>
      <c r="I9" s="22"/>
      <c r="J9" s="22">
        <v>21410</v>
      </c>
      <c r="K9" s="22"/>
      <c r="L9" s="22"/>
      <c r="M9" s="22"/>
      <c r="N9" s="22">
        <v>7234</v>
      </c>
      <c r="O9" s="22"/>
      <c r="P9" s="22"/>
      <c r="Q9" s="22"/>
      <c r="R9" s="22">
        <v>863</v>
      </c>
      <c r="S9" s="22"/>
      <c r="T9" s="22"/>
      <c r="U9" s="22"/>
    </row>
    <row r="10" spans="1:27" x14ac:dyDescent="0.2">
      <c r="A10" s="82" t="s">
        <v>19</v>
      </c>
      <c r="B10" s="22">
        <v>18388</v>
      </c>
      <c r="C10" s="22"/>
      <c r="D10" s="104"/>
      <c r="E10" s="104"/>
      <c r="F10" s="22">
        <v>4195</v>
      </c>
      <c r="G10" s="22"/>
      <c r="H10" s="104"/>
      <c r="I10" s="22"/>
      <c r="J10" s="22">
        <v>19505</v>
      </c>
      <c r="K10" s="22"/>
      <c r="L10" s="104"/>
      <c r="M10" s="104"/>
      <c r="N10" s="22">
        <v>7065</v>
      </c>
      <c r="O10" s="22"/>
      <c r="P10" s="104"/>
      <c r="Q10" s="104"/>
      <c r="R10" s="22">
        <v>858</v>
      </c>
      <c r="S10" s="22"/>
      <c r="T10" s="104"/>
      <c r="U10" s="104"/>
    </row>
    <row r="11" spans="1:27" x14ac:dyDescent="0.2">
      <c r="A11" s="1" t="s">
        <v>10</v>
      </c>
      <c r="B11" s="22">
        <v>18393</v>
      </c>
      <c r="C11" s="22"/>
      <c r="D11" s="22"/>
      <c r="E11" s="22"/>
      <c r="F11" s="22">
        <v>4275</v>
      </c>
      <c r="G11" s="22"/>
      <c r="H11" s="22"/>
      <c r="I11" s="104"/>
      <c r="J11" s="22">
        <v>19505</v>
      </c>
      <c r="K11" s="22"/>
      <c r="L11" s="104"/>
      <c r="M11" s="104"/>
      <c r="N11" s="22">
        <v>7071</v>
      </c>
      <c r="O11" s="22"/>
      <c r="P11" s="104"/>
      <c r="Q11" s="104"/>
      <c r="R11" s="22">
        <v>858</v>
      </c>
      <c r="S11" s="22"/>
      <c r="T11" s="104"/>
      <c r="U11" s="104"/>
    </row>
    <row r="12" spans="1:27" x14ac:dyDescent="0.2">
      <c r="A12" s="1" t="s">
        <v>11</v>
      </c>
      <c r="B12" s="22">
        <v>18485</v>
      </c>
      <c r="C12" s="22"/>
      <c r="D12" s="22"/>
      <c r="E12" s="22"/>
      <c r="F12" s="22">
        <v>4315</v>
      </c>
      <c r="G12" s="22"/>
      <c r="H12" s="22"/>
      <c r="I12" s="22"/>
      <c r="J12" s="22">
        <v>19510</v>
      </c>
      <c r="K12" s="22"/>
      <c r="L12" s="104"/>
      <c r="M12" s="104"/>
      <c r="N12" s="22">
        <v>7260</v>
      </c>
      <c r="O12" s="22"/>
      <c r="P12" s="104"/>
      <c r="Q12" s="104"/>
      <c r="R12" s="22">
        <v>858</v>
      </c>
      <c r="S12" s="22"/>
      <c r="T12" s="104"/>
      <c r="U12" s="104"/>
    </row>
    <row r="13" spans="1:27" x14ac:dyDescent="0.2">
      <c r="A13" s="1" t="s">
        <v>12</v>
      </c>
      <c r="B13" s="22">
        <v>20375</v>
      </c>
      <c r="C13" s="22"/>
      <c r="D13" s="22"/>
      <c r="E13" s="22"/>
      <c r="F13" s="22">
        <v>4470</v>
      </c>
      <c r="G13" s="22"/>
      <c r="H13" s="22"/>
      <c r="I13" s="22"/>
      <c r="J13" s="22">
        <v>21850</v>
      </c>
      <c r="K13" s="22"/>
      <c r="L13" s="22"/>
      <c r="M13" s="22"/>
      <c r="N13" s="22">
        <v>7509</v>
      </c>
      <c r="O13" s="22"/>
      <c r="P13" s="22"/>
      <c r="Q13" s="22"/>
      <c r="R13" s="22">
        <v>930</v>
      </c>
      <c r="S13" s="22"/>
      <c r="T13" s="22"/>
      <c r="U13" s="22"/>
    </row>
    <row r="14" spans="1:27" x14ac:dyDescent="0.2">
      <c r="A14" s="1" t="s">
        <v>13</v>
      </c>
      <c r="B14" s="22">
        <v>20377</v>
      </c>
      <c r="C14" s="22"/>
      <c r="D14" s="22"/>
      <c r="E14" s="22"/>
      <c r="F14" s="22">
        <v>4480</v>
      </c>
      <c r="G14" s="22"/>
      <c r="H14" s="22"/>
      <c r="I14" s="22"/>
      <c r="J14" s="22">
        <v>21805</v>
      </c>
      <c r="K14" s="22"/>
      <c r="L14" s="22"/>
      <c r="M14" s="22"/>
      <c r="N14" s="22">
        <v>7504</v>
      </c>
      <c r="O14" s="22"/>
      <c r="P14" s="22"/>
      <c r="Q14" s="22"/>
      <c r="R14" s="22">
        <v>930</v>
      </c>
      <c r="S14" s="22"/>
      <c r="T14" s="22"/>
      <c r="U14" s="22"/>
    </row>
    <row r="15" spans="1:27" x14ac:dyDescent="0.2">
      <c r="A15" s="1" t="s">
        <v>14</v>
      </c>
      <c r="B15" s="22">
        <v>20525</v>
      </c>
      <c r="C15" s="22"/>
      <c r="D15" s="22"/>
      <c r="E15" s="22"/>
      <c r="F15" s="22">
        <v>4395</v>
      </c>
      <c r="G15" s="22"/>
      <c r="H15" s="22"/>
      <c r="I15" s="22"/>
      <c r="J15" s="22">
        <v>21759</v>
      </c>
      <c r="K15" s="22"/>
      <c r="L15" s="22"/>
      <c r="M15" s="22"/>
      <c r="N15" s="22">
        <v>7449</v>
      </c>
      <c r="O15" s="22"/>
      <c r="P15" s="22"/>
      <c r="Q15" s="22"/>
      <c r="R15" s="22">
        <v>925</v>
      </c>
      <c r="S15" s="22"/>
      <c r="T15" s="22"/>
      <c r="U15" s="22"/>
    </row>
    <row r="16" spans="1:27" x14ac:dyDescent="0.2">
      <c r="A16" s="1" t="s">
        <v>6</v>
      </c>
      <c r="B16" s="22">
        <f>SUM(B4:B15)</f>
        <v>231680</v>
      </c>
      <c r="C16" s="22">
        <f>SUM(C4:C15)</f>
        <v>0</v>
      </c>
      <c r="D16" s="22">
        <f t="shared" ref="D16:M16" si="0">SUM(D4:D15)</f>
        <v>0</v>
      </c>
      <c r="E16" s="22">
        <f t="shared" si="0"/>
        <v>0</v>
      </c>
      <c r="F16" s="22">
        <f t="shared" si="0"/>
        <v>52550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256109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U16" si="1">SUM(N4:N15)</f>
        <v>87725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10649</v>
      </c>
      <c r="S16" s="22">
        <f t="shared" si="1"/>
        <v>0</v>
      </c>
      <c r="T16" s="22">
        <f t="shared" si="1"/>
        <v>0</v>
      </c>
      <c r="U16" s="22">
        <f t="shared" si="1"/>
        <v>0</v>
      </c>
    </row>
    <row r="17" spans="1:21" x14ac:dyDescent="0.2">
      <c r="A17" s="28" t="s">
        <v>28</v>
      </c>
      <c r="B17" s="30">
        <f t="shared" ref="B17:L17" si="2">B4+B5</f>
        <v>37022</v>
      </c>
      <c r="C17" s="30">
        <f>C4+C5</f>
        <v>0</v>
      </c>
      <c r="D17" s="30">
        <f t="shared" si="2"/>
        <v>0</v>
      </c>
      <c r="E17" s="30">
        <f>E4+E5</f>
        <v>0</v>
      </c>
      <c r="F17" s="30">
        <f t="shared" si="2"/>
        <v>7960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45290</v>
      </c>
      <c r="K17" s="30">
        <f t="shared" si="2"/>
        <v>0</v>
      </c>
      <c r="L17" s="30">
        <f t="shared" si="2"/>
        <v>0</v>
      </c>
      <c r="M17" s="30">
        <f t="shared" ref="M17:U17" si="3">M4+M5</f>
        <v>0</v>
      </c>
      <c r="N17" s="30">
        <f t="shared" si="3"/>
        <v>14376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1757</v>
      </c>
      <c r="S17" s="30">
        <f t="shared" si="3"/>
        <v>0</v>
      </c>
      <c r="T17" s="30">
        <f t="shared" si="3"/>
        <v>0</v>
      </c>
      <c r="U17" s="30">
        <f t="shared" si="3"/>
        <v>0</v>
      </c>
    </row>
    <row r="18" spans="1:21" x14ac:dyDescent="0.2">
      <c r="A18" s="28" t="s">
        <v>96</v>
      </c>
      <c r="B18" s="30">
        <f t="shared" ref="B18:B27" si="4">B17+B6</f>
        <v>55740</v>
      </c>
      <c r="C18" s="30">
        <f>C17+C6</f>
        <v>0</v>
      </c>
      <c r="D18" s="30">
        <f t="shared" ref="D18:E27" si="5">D17+D6</f>
        <v>0</v>
      </c>
      <c r="E18" s="30">
        <f t="shared" si="5"/>
        <v>0</v>
      </c>
      <c r="F18" s="30">
        <f t="shared" ref="F18:F27" si="6">F17+F6</f>
        <v>11970</v>
      </c>
      <c r="G18" s="30">
        <f t="shared" ref="G18:G27" si="7">G17+G6</f>
        <v>0</v>
      </c>
      <c r="H18" s="30">
        <f t="shared" ref="H18:I27" si="8">H17+H6</f>
        <v>0</v>
      </c>
      <c r="I18" s="30">
        <f t="shared" si="8"/>
        <v>0</v>
      </c>
      <c r="J18" s="30">
        <f t="shared" ref="J18:J27" si="9">J17+J6</f>
        <v>67940</v>
      </c>
      <c r="K18" s="30">
        <f t="shared" ref="K18:K27" si="10">K17+K6</f>
        <v>0</v>
      </c>
      <c r="L18" s="30">
        <f t="shared" ref="L18:M27" si="11">L17+L6</f>
        <v>0</v>
      </c>
      <c r="M18" s="30">
        <f t="shared" si="11"/>
        <v>0</v>
      </c>
      <c r="N18" s="30">
        <f t="shared" ref="N18:N27" si="12">N17+N6</f>
        <v>21705</v>
      </c>
      <c r="O18" s="30">
        <f t="shared" ref="O18:O27" si="13">O17+O6</f>
        <v>0</v>
      </c>
      <c r="P18" s="30">
        <f t="shared" ref="P18:P27" si="14">P17+P6</f>
        <v>0</v>
      </c>
      <c r="Q18" s="30">
        <f t="shared" ref="Q18:Q27" si="15">Q17+Q6</f>
        <v>0</v>
      </c>
      <c r="R18" s="30">
        <f t="shared" ref="R18:R27" si="16">R17+R6</f>
        <v>2652</v>
      </c>
      <c r="S18" s="30">
        <f t="shared" ref="S18:S27" si="17">S17+S6</f>
        <v>0</v>
      </c>
      <c r="T18" s="30">
        <f t="shared" ref="T18:T27" si="18">T17+T6</f>
        <v>0</v>
      </c>
      <c r="U18" s="30">
        <f t="shared" ref="U18:U27" si="19">U17+U6</f>
        <v>0</v>
      </c>
    </row>
    <row r="19" spans="1:21" x14ac:dyDescent="0.2">
      <c r="A19" s="28" t="s">
        <v>29</v>
      </c>
      <c r="B19" s="30">
        <f t="shared" si="4"/>
        <v>75503</v>
      </c>
      <c r="C19" s="30">
        <f t="shared" ref="C19:C27" si="20">C18+C7</f>
        <v>0</v>
      </c>
      <c r="D19" s="30">
        <f t="shared" si="5"/>
        <v>0</v>
      </c>
      <c r="E19" s="30">
        <f t="shared" si="5"/>
        <v>0</v>
      </c>
      <c r="F19" s="30">
        <f t="shared" si="6"/>
        <v>16810</v>
      </c>
      <c r="G19" s="30">
        <f t="shared" si="7"/>
        <v>0</v>
      </c>
      <c r="H19" s="30">
        <f t="shared" si="8"/>
        <v>0</v>
      </c>
      <c r="I19" s="30">
        <f t="shared" si="8"/>
        <v>0</v>
      </c>
      <c r="J19" s="30">
        <f t="shared" si="9"/>
        <v>89355</v>
      </c>
      <c r="K19" s="30">
        <f t="shared" si="10"/>
        <v>0</v>
      </c>
      <c r="L19" s="30">
        <f t="shared" si="11"/>
        <v>0</v>
      </c>
      <c r="M19" s="30">
        <f t="shared" si="11"/>
        <v>0</v>
      </c>
      <c r="N19" s="30">
        <f t="shared" si="12"/>
        <v>29184</v>
      </c>
      <c r="O19" s="30">
        <f t="shared" si="13"/>
        <v>0</v>
      </c>
      <c r="P19" s="30">
        <f t="shared" si="14"/>
        <v>0</v>
      </c>
      <c r="Q19" s="30">
        <f t="shared" si="15"/>
        <v>0</v>
      </c>
      <c r="R19" s="30">
        <f t="shared" si="16"/>
        <v>3547</v>
      </c>
      <c r="S19" s="30">
        <f t="shared" si="17"/>
        <v>0</v>
      </c>
      <c r="T19" s="30">
        <f t="shared" si="18"/>
        <v>0</v>
      </c>
      <c r="U19" s="30">
        <f t="shared" si="19"/>
        <v>0</v>
      </c>
    </row>
    <row r="20" spans="1:21" x14ac:dyDescent="0.2">
      <c r="A20" s="28" t="s">
        <v>30</v>
      </c>
      <c r="B20" s="30">
        <f t="shared" si="4"/>
        <v>95267</v>
      </c>
      <c r="C20" s="30">
        <f t="shared" si="20"/>
        <v>0</v>
      </c>
      <c r="D20" s="30">
        <f t="shared" si="5"/>
        <v>0</v>
      </c>
      <c r="E20" s="30">
        <f t="shared" si="5"/>
        <v>0</v>
      </c>
      <c r="F20" s="30">
        <f t="shared" si="6"/>
        <v>21620</v>
      </c>
      <c r="G20" s="30">
        <f t="shared" si="7"/>
        <v>0</v>
      </c>
      <c r="H20" s="30">
        <f t="shared" si="8"/>
        <v>0</v>
      </c>
      <c r="I20" s="30">
        <f t="shared" si="8"/>
        <v>0</v>
      </c>
      <c r="J20" s="30">
        <f t="shared" si="9"/>
        <v>110765</v>
      </c>
      <c r="K20" s="30">
        <f t="shared" si="10"/>
        <v>0</v>
      </c>
      <c r="L20" s="30">
        <f t="shared" si="11"/>
        <v>0</v>
      </c>
      <c r="M20" s="30">
        <f t="shared" si="11"/>
        <v>0</v>
      </c>
      <c r="N20" s="30">
        <f t="shared" si="12"/>
        <v>36633</v>
      </c>
      <c r="O20" s="30">
        <f t="shared" si="13"/>
        <v>0</v>
      </c>
      <c r="P20" s="30">
        <f t="shared" si="14"/>
        <v>0</v>
      </c>
      <c r="Q20" s="30">
        <f t="shared" si="15"/>
        <v>0</v>
      </c>
      <c r="R20" s="30">
        <f t="shared" si="16"/>
        <v>4427</v>
      </c>
      <c r="S20" s="30">
        <f t="shared" si="17"/>
        <v>0</v>
      </c>
      <c r="T20" s="30">
        <f t="shared" si="18"/>
        <v>0</v>
      </c>
      <c r="U20" s="30">
        <f t="shared" si="19"/>
        <v>0</v>
      </c>
    </row>
    <row r="21" spans="1:21" x14ac:dyDescent="0.2">
      <c r="A21" s="28" t="s">
        <v>31</v>
      </c>
      <c r="B21" s="30">
        <f t="shared" si="4"/>
        <v>115137</v>
      </c>
      <c r="C21" s="30">
        <f t="shared" si="20"/>
        <v>0</v>
      </c>
      <c r="D21" s="30">
        <f t="shared" si="5"/>
        <v>0</v>
      </c>
      <c r="E21" s="30">
        <f t="shared" si="5"/>
        <v>0</v>
      </c>
      <c r="F21" s="30">
        <f t="shared" si="6"/>
        <v>26420</v>
      </c>
      <c r="G21" s="30">
        <f t="shared" si="7"/>
        <v>0</v>
      </c>
      <c r="H21" s="30">
        <f t="shared" si="8"/>
        <v>0</v>
      </c>
      <c r="I21" s="30">
        <f t="shared" si="8"/>
        <v>0</v>
      </c>
      <c r="J21" s="30">
        <f t="shared" si="9"/>
        <v>132175</v>
      </c>
      <c r="K21" s="30">
        <f t="shared" si="10"/>
        <v>0</v>
      </c>
      <c r="L21" s="30">
        <f t="shared" si="11"/>
        <v>0</v>
      </c>
      <c r="M21" s="30">
        <f t="shared" si="11"/>
        <v>0</v>
      </c>
      <c r="N21" s="30">
        <f t="shared" si="12"/>
        <v>43867</v>
      </c>
      <c r="O21" s="30">
        <f t="shared" si="13"/>
        <v>0</v>
      </c>
      <c r="P21" s="30">
        <f t="shared" si="14"/>
        <v>0</v>
      </c>
      <c r="Q21" s="30">
        <f t="shared" si="15"/>
        <v>0</v>
      </c>
      <c r="R21" s="30">
        <f t="shared" si="16"/>
        <v>5290</v>
      </c>
      <c r="S21" s="30">
        <f t="shared" si="17"/>
        <v>0</v>
      </c>
      <c r="T21" s="30">
        <f t="shared" si="18"/>
        <v>0</v>
      </c>
      <c r="U21" s="30">
        <f t="shared" si="19"/>
        <v>0</v>
      </c>
    </row>
    <row r="22" spans="1:21" x14ac:dyDescent="0.2">
      <c r="A22" s="28" t="s">
        <v>32</v>
      </c>
      <c r="B22" s="30">
        <f t="shared" si="4"/>
        <v>133525</v>
      </c>
      <c r="C22" s="30">
        <f>C21+C10</f>
        <v>0</v>
      </c>
      <c r="D22" s="30">
        <f t="shared" si="5"/>
        <v>0</v>
      </c>
      <c r="E22" s="30">
        <f t="shared" si="5"/>
        <v>0</v>
      </c>
      <c r="F22" s="30">
        <f t="shared" si="6"/>
        <v>30615</v>
      </c>
      <c r="G22" s="30">
        <f t="shared" si="7"/>
        <v>0</v>
      </c>
      <c r="H22" s="30">
        <f t="shared" si="8"/>
        <v>0</v>
      </c>
      <c r="I22" s="30">
        <f t="shared" si="8"/>
        <v>0</v>
      </c>
      <c r="J22" s="30">
        <f t="shared" si="9"/>
        <v>151680</v>
      </c>
      <c r="K22" s="30">
        <f t="shared" si="10"/>
        <v>0</v>
      </c>
      <c r="L22" s="30">
        <f t="shared" si="11"/>
        <v>0</v>
      </c>
      <c r="M22" s="30">
        <f t="shared" si="11"/>
        <v>0</v>
      </c>
      <c r="N22" s="30">
        <f t="shared" si="12"/>
        <v>50932</v>
      </c>
      <c r="O22" s="30">
        <f t="shared" si="13"/>
        <v>0</v>
      </c>
      <c r="P22" s="30">
        <f t="shared" si="14"/>
        <v>0</v>
      </c>
      <c r="Q22" s="30">
        <f t="shared" si="15"/>
        <v>0</v>
      </c>
      <c r="R22" s="30">
        <f t="shared" si="16"/>
        <v>6148</v>
      </c>
      <c r="S22" s="30">
        <f t="shared" si="17"/>
        <v>0</v>
      </c>
      <c r="T22" s="30">
        <f t="shared" si="18"/>
        <v>0</v>
      </c>
      <c r="U22" s="30">
        <f t="shared" si="19"/>
        <v>0</v>
      </c>
    </row>
    <row r="23" spans="1:21" x14ac:dyDescent="0.2">
      <c r="A23" s="28" t="s">
        <v>33</v>
      </c>
      <c r="B23" s="30">
        <f t="shared" si="4"/>
        <v>151918</v>
      </c>
      <c r="C23" s="30">
        <f t="shared" si="20"/>
        <v>0</v>
      </c>
      <c r="D23" s="30">
        <f t="shared" si="5"/>
        <v>0</v>
      </c>
      <c r="E23" s="30">
        <f t="shared" si="5"/>
        <v>0</v>
      </c>
      <c r="F23" s="30">
        <f t="shared" si="6"/>
        <v>34890</v>
      </c>
      <c r="G23" s="30">
        <f t="shared" si="7"/>
        <v>0</v>
      </c>
      <c r="H23" s="30">
        <f t="shared" si="8"/>
        <v>0</v>
      </c>
      <c r="I23" s="30">
        <f t="shared" si="8"/>
        <v>0</v>
      </c>
      <c r="J23" s="30">
        <f t="shared" si="9"/>
        <v>171185</v>
      </c>
      <c r="K23" s="30">
        <f t="shared" si="10"/>
        <v>0</v>
      </c>
      <c r="L23" s="30">
        <f t="shared" si="11"/>
        <v>0</v>
      </c>
      <c r="M23" s="30">
        <f t="shared" si="11"/>
        <v>0</v>
      </c>
      <c r="N23" s="30">
        <f t="shared" si="12"/>
        <v>58003</v>
      </c>
      <c r="O23" s="30">
        <f t="shared" si="13"/>
        <v>0</v>
      </c>
      <c r="P23" s="30">
        <f t="shared" si="14"/>
        <v>0</v>
      </c>
      <c r="Q23" s="30">
        <f t="shared" si="15"/>
        <v>0</v>
      </c>
      <c r="R23" s="30">
        <f t="shared" si="16"/>
        <v>7006</v>
      </c>
      <c r="S23" s="30">
        <f t="shared" si="17"/>
        <v>0</v>
      </c>
      <c r="T23" s="30">
        <f t="shared" si="18"/>
        <v>0</v>
      </c>
      <c r="U23" s="30">
        <f t="shared" si="19"/>
        <v>0</v>
      </c>
    </row>
    <row r="24" spans="1:21" x14ac:dyDescent="0.2">
      <c r="A24" s="28" t="s">
        <v>34</v>
      </c>
      <c r="B24" s="30">
        <f t="shared" si="4"/>
        <v>170403</v>
      </c>
      <c r="C24" s="30">
        <f t="shared" si="20"/>
        <v>0</v>
      </c>
      <c r="D24" s="30">
        <f t="shared" si="5"/>
        <v>0</v>
      </c>
      <c r="E24" s="30">
        <f t="shared" si="5"/>
        <v>0</v>
      </c>
      <c r="F24" s="30">
        <f t="shared" si="6"/>
        <v>39205</v>
      </c>
      <c r="G24" s="30">
        <f t="shared" si="7"/>
        <v>0</v>
      </c>
      <c r="H24" s="30">
        <f t="shared" si="8"/>
        <v>0</v>
      </c>
      <c r="I24" s="30">
        <f t="shared" si="8"/>
        <v>0</v>
      </c>
      <c r="J24" s="30">
        <f t="shared" si="9"/>
        <v>190695</v>
      </c>
      <c r="K24" s="30">
        <f t="shared" si="10"/>
        <v>0</v>
      </c>
      <c r="L24" s="30">
        <f t="shared" si="11"/>
        <v>0</v>
      </c>
      <c r="M24" s="30">
        <f t="shared" si="11"/>
        <v>0</v>
      </c>
      <c r="N24" s="30">
        <f t="shared" si="12"/>
        <v>65263</v>
      </c>
      <c r="O24" s="30">
        <f t="shared" si="13"/>
        <v>0</v>
      </c>
      <c r="P24" s="30">
        <f t="shared" si="14"/>
        <v>0</v>
      </c>
      <c r="Q24" s="30">
        <f t="shared" si="15"/>
        <v>0</v>
      </c>
      <c r="R24" s="30">
        <f t="shared" si="16"/>
        <v>7864</v>
      </c>
      <c r="S24" s="30">
        <f t="shared" si="17"/>
        <v>0</v>
      </c>
      <c r="T24" s="30">
        <f t="shared" si="18"/>
        <v>0</v>
      </c>
      <c r="U24" s="30">
        <f t="shared" si="19"/>
        <v>0</v>
      </c>
    </row>
    <row r="25" spans="1:21" x14ac:dyDescent="0.2">
      <c r="A25" s="29" t="s">
        <v>35</v>
      </c>
      <c r="B25" s="31">
        <f t="shared" si="4"/>
        <v>190778</v>
      </c>
      <c r="C25" s="31">
        <f t="shared" si="20"/>
        <v>0</v>
      </c>
      <c r="D25" s="31">
        <f t="shared" si="5"/>
        <v>0</v>
      </c>
      <c r="E25" s="31">
        <f t="shared" si="5"/>
        <v>0</v>
      </c>
      <c r="F25" s="31">
        <f t="shared" si="6"/>
        <v>43675</v>
      </c>
      <c r="G25" s="31">
        <f t="shared" si="7"/>
        <v>0</v>
      </c>
      <c r="H25" s="31">
        <f t="shared" si="8"/>
        <v>0</v>
      </c>
      <c r="I25" s="31">
        <f t="shared" si="8"/>
        <v>0</v>
      </c>
      <c r="J25" s="31">
        <f t="shared" si="9"/>
        <v>212545</v>
      </c>
      <c r="K25" s="31">
        <f t="shared" si="10"/>
        <v>0</v>
      </c>
      <c r="L25" s="31">
        <f t="shared" si="11"/>
        <v>0</v>
      </c>
      <c r="M25" s="31">
        <f t="shared" si="11"/>
        <v>0</v>
      </c>
      <c r="N25" s="31">
        <f t="shared" si="12"/>
        <v>72772</v>
      </c>
      <c r="O25" s="31">
        <f t="shared" si="13"/>
        <v>0</v>
      </c>
      <c r="P25" s="31">
        <f t="shared" si="14"/>
        <v>0</v>
      </c>
      <c r="Q25" s="31">
        <f t="shared" si="15"/>
        <v>0</v>
      </c>
      <c r="R25" s="31">
        <f t="shared" si="16"/>
        <v>8794</v>
      </c>
      <c r="S25" s="31">
        <f t="shared" si="17"/>
        <v>0</v>
      </c>
      <c r="T25" s="31">
        <f t="shared" si="18"/>
        <v>0</v>
      </c>
      <c r="U25" s="31">
        <f t="shared" si="19"/>
        <v>0</v>
      </c>
    </row>
    <row r="26" spans="1:21" x14ac:dyDescent="0.2">
      <c r="A26" s="29" t="s">
        <v>36</v>
      </c>
      <c r="B26" s="31">
        <f t="shared" si="4"/>
        <v>211155</v>
      </c>
      <c r="C26" s="31">
        <f t="shared" si="20"/>
        <v>0</v>
      </c>
      <c r="D26" s="31">
        <f t="shared" si="5"/>
        <v>0</v>
      </c>
      <c r="E26" s="31">
        <f t="shared" si="5"/>
        <v>0</v>
      </c>
      <c r="F26" s="31">
        <f t="shared" si="6"/>
        <v>48155</v>
      </c>
      <c r="G26" s="31">
        <f t="shared" si="7"/>
        <v>0</v>
      </c>
      <c r="H26" s="31">
        <f t="shared" si="8"/>
        <v>0</v>
      </c>
      <c r="I26" s="31">
        <f t="shared" si="8"/>
        <v>0</v>
      </c>
      <c r="J26" s="31">
        <f t="shared" si="9"/>
        <v>234350</v>
      </c>
      <c r="K26" s="31">
        <f t="shared" si="10"/>
        <v>0</v>
      </c>
      <c r="L26" s="31">
        <f t="shared" si="11"/>
        <v>0</v>
      </c>
      <c r="M26" s="31">
        <f t="shared" si="11"/>
        <v>0</v>
      </c>
      <c r="N26" s="31">
        <f t="shared" si="12"/>
        <v>80276</v>
      </c>
      <c r="O26" s="31">
        <f t="shared" si="13"/>
        <v>0</v>
      </c>
      <c r="P26" s="31">
        <f t="shared" si="14"/>
        <v>0</v>
      </c>
      <c r="Q26" s="31">
        <f t="shared" si="15"/>
        <v>0</v>
      </c>
      <c r="R26" s="31">
        <f t="shared" si="16"/>
        <v>9724</v>
      </c>
      <c r="S26" s="31">
        <f t="shared" si="17"/>
        <v>0</v>
      </c>
      <c r="T26" s="31">
        <f t="shared" si="18"/>
        <v>0</v>
      </c>
      <c r="U26" s="31">
        <f t="shared" si="19"/>
        <v>0</v>
      </c>
    </row>
    <row r="27" spans="1:21" x14ac:dyDescent="0.2">
      <c r="A27" s="12" t="s">
        <v>15</v>
      </c>
      <c r="B27" s="32">
        <f t="shared" si="4"/>
        <v>231680</v>
      </c>
      <c r="C27" s="32">
        <f t="shared" si="20"/>
        <v>0</v>
      </c>
      <c r="D27" s="32">
        <f t="shared" si="5"/>
        <v>0</v>
      </c>
      <c r="E27" s="32">
        <f t="shared" si="5"/>
        <v>0</v>
      </c>
      <c r="F27" s="32">
        <f t="shared" si="6"/>
        <v>52550</v>
      </c>
      <c r="G27" s="32">
        <f t="shared" si="7"/>
        <v>0</v>
      </c>
      <c r="H27" s="32">
        <f t="shared" si="8"/>
        <v>0</v>
      </c>
      <c r="I27" s="32">
        <f t="shared" si="8"/>
        <v>0</v>
      </c>
      <c r="J27" s="32">
        <f t="shared" si="9"/>
        <v>256109</v>
      </c>
      <c r="K27" s="32">
        <f t="shared" si="10"/>
        <v>0</v>
      </c>
      <c r="L27" s="32">
        <f t="shared" si="11"/>
        <v>0</v>
      </c>
      <c r="M27" s="32">
        <f t="shared" si="11"/>
        <v>0</v>
      </c>
      <c r="N27" s="32">
        <f t="shared" si="12"/>
        <v>87725</v>
      </c>
      <c r="O27" s="32">
        <f t="shared" si="13"/>
        <v>0</v>
      </c>
      <c r="P27" s="32">
        <f t="shared" si="14"/>
        <v>0</v>
      </c>
      <c r="Q27" s="32">
        <f t="shared" si="15"/>
        <v>0</v>
      </c>
      <c r="R27" s="32">
        <f t="shared" si="16"/>
        <v>10649</v>
      </c>
      <c r="S27" s="32">
        <f t="shared" si="17"/>
        <v>0</v>
      </c>
      <c r="T27" s="32">
        <f t="shared" si="18"/>
        <v>0</v>
      </c>
      <c r="U27" s="32">
        <f t="shared" si="19"/>
        <v>0</v>
      </c>
    </row>
    <row r="28" spans="1:21" x14ac:dyDescent="0.2">
      <c r="C28" s="16"/>
      <c r="D28" s="16"/>
      <c r="E28" s="16"/>
    </row>
    <row r="29" spans="1:21" x14ac:dyDescent="0.2">
      <c r="C29" s="16"/>
      <c r="D29" s="16"/>
      <c r="E29" s="16"/>
    </row>
    <row r="30" spans="1:21" x14ac:dyDescent="0.2">
      <c r="C30" s="16"/>
      <c r="D30" s="16"/>
      <c r="E30" s="16"/>
    </row>
    <row r="33" spans="6:18" x14ac:dyDescent="0.2">
      <c r="F33">
        <v>52550</v>
      </c>
      <c r="J33">
        <v>256109</v>
      </c>
      <c r="N33">
        <v>87725</v>
      </c>
      <c r="R33">
        <v>10649</v>
      </c>
    </row>
    <row r="34" spans="6:18" x14ac:dyDescent="0.2">
      <c r="N34" s="346"/>
    </row>
  </sheetData>
  <mergeCells count="7">
    <mergeCell ref="B1:D1"/>
    <mergeCell ref="F1:H1"/>
    <mergeCell ref="O2:P2"/>
    <mergeCell ref="S2:T2"/>
    <mergeCell ref="C2:D2"/>
    <mergeCell ref="G2:H2"/>
    <mergeCell ref="K2:L2"/>
  </mergeCells>
  <phoneticPr fontId="0" type="noConversion"/>
  <pageMargins left="0" right="0" top="0" bottom="0" header="0" footer="0"/>
  <pageSetup paperSize="9" scale="44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" ySplit="3" topLeftCell="H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3" width="11" customWidth="1"/>
    <col min="4" max="5" width="11.8554687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7" x14ac:dyDescent="0.2">
      <c r="A1" s="2" t="s">
        <v>3</v>
      </c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24" t="s">
        <v>22</v>
      </c>
      <c r="L1" s="25"/>
      <c r="N1" s="19"/>
      <c r="O1" s="24" t="s">
        <v>185</v>
      </c>
      <c r="P1" s="25"/>
      <c r="R1" s="19"/>
      <c r="S1" s="24" t="s">
        <v>193</v>
      </c>
      <c r="T1" s="25"/>
      <c r="W1" t="s">
        <v>173</v>
      </c>
      <c r="AA1" t="s">
        <v>173</v>
      </c>
    </row>
    <row r="2" spans="1:27" x14ac:dyDescent="0.2">
      <c r="A2" s="3"/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7"/>
      <c r="O3" s="17" t="s">
        <v>27</v>
      </c>
      <c r="P3" s="15" t="s">
        <v>26</v>
      </c>
      <c r="Q3" s="115" t="s">
        <v>105</v>
      </c>
      <c r="R3" s="7"/>
      <c r="S3" s="17" t="s">
        <v>27</v>
      </c>
      <c r="T3" s="15" t="s">
        <v>26</v>
      </c>
      <c r="U3" s="115" t="s">
        <v>105</v>
      </c>
    </row>
    <row r="4" spans="1:27" x14ac:dyDescent="0.2">
      <c r="A4" s="1" t="s">
        <v>4</v>
      </c>
      <c r="B4" s="22">
        <v>6022</v>
      </c>
      <c r="C4" s="22"/>
      <c r="D4" s="22"/>
      <c r="E4" s="22"/>
      <c r="F4" s="22"/>
      <c r="G4" s="22"/>
      <c r="H4" s="22"/>
      <c r="I4" s="22"/>
      <c r="J4" s="22">
        <v>3942</v>
      </c>
      <c r="K4" s="22"/>
      <c r="L4" s="22"/>
      <c r="M4" s="22"/>
      <c r="N4" s="22">
        <v>3067</v>
      </c>
      <c r="O4" s="22"/>
      <c r="P4" s="22"/>
      <c r="Q4" s="22"/>
      <c r="R4" s="22">
        <v>290</v>
      </c>
      <c r="S4" s="22"/>
      <c r="T4" s="22"/>
      <c r="U4" s="22"/>
    </row>
    <row r="5" spans="1:27" x14ac:dyDescent="0.2">
      <c r="A5" s="1" t="s">
        <v>7</v>
      </c>
      <c r="B5" s="22">
        <v>5561</v>
      </c>
      <c r="C5" s="22"/>
      <c r="D5" s="22"/>
      <c r="E5" s="22"/>
      <c r="F5" s="22"/>
      <c r="G5" s="22"/>
      <c r="H5" s="22"/>
      <c r="I5" s="22"/>
      <c r="J5" s="22">
        <v>1000</v>
      </c>
      <c r="K5" s="22"/>
      <c r="L5" s="22"/>
      <c r="M5" s="22"/>
      <c r="N5" s="22">
        <v>3067</v>
      </c>
      <c r="O5" s="22"/>
      <c r="P5" s="22"/>
      <c r="Q5" s="22"/>
      <c r="R5" s="22">
        <v>290</v>
      </c>
      <c r="S5" s="22"/>
      <c r="T5" s="22"/>
      <c r="U5" s="22"/>
    </row>
    <row r="6" spans="1:27" x14ac:dyDescent="0.2">
      <c r="A6" s="1" t="s">
        <v>8</v>
      </c>
      <c r="B6" s="22">
        <v>6022</v>
      </c>
      <c r="C6" s="22"/>
      <c r="D6" s="22"/>
      <c r="E6" s="22"/>
      <c r="F6" s="22"/>
      <c r="G6" s="22"/>
      <c r="H6" s="22"/>
      <c r="I6" s="22"/>
      <c r="J6" s="22">
        <v>2430</v>
      </c>
      <c r="K6" s="22"/>
      <c r="L6" s="22"/>
      <c r="M6" s="22"/>
      <c r="N6" s="22">
        <v>3067</v>
      </c>
      <c r="O6" s="22"/>
      <c r="P6" s="22"/>
      <c r="Q6" s="22"/>
      <c r="R6" s="22">
        <v>290</v>
      </c>
      <c r="S6" s="22"/>
      <c r="T6" s="22"/>
      <c r="U6" s="22"/>
    </row>
    <row r="7" spans="1:27" x14ac:dyDescent="0.2">
      <c r="A7" s="1" t="s">
        <v>16</v>
      </c>
      <c r="B7" s="22">
        <v>5898</v>
      </c>
      <c r="C7" s="22"/>
      <c r="D7" s="22"/>
      <c r="E7" s="22"/>
      <c r="F7" s="22"/>
      <c r="G7" s="22"/>
      <c r="H7" s="22"/>
      <c r="I7" s="22"/>
      <c r="J7" s="22">
        <v>2430</v>
      </c>
      <c r="K7" s="22"/>
      <c r="L7" s="22"/>
      <c r="M7" s="22"/>
      <c r="N7" s="22">
        <v>3067</v>
      </c>
      <c r="O7" s="22"/>
      <c r="P7" s="22"/>
      <c r="Q7" s="22"/>
      <c r="R7" s="22">
        <v>290</v>
      </c>
      <c r="S7" s="22"/>
      <c r="T7" s="22"/>
      <c r="U7" s="22"/>
    </row>
    <row r="8" spans="1:27" x14ac:dyDescent="0.2">
      <c r="A8" s="1" t="s">
        <v>17</v>
      </c>
      <c r="B8" s="22">
        <v>6093</v>
      </c>
      <c r="C8" s="22"/>
      <c r="D8" s="22"/>
      <c r="E8" s="22"/>
      <c r="F8" s="22"/>
      <c r="G8" s="22"/>
      <c r="H8" s="22"/>
      <c r="I8" s="22"/>
      <c r="J8" s="22">
        <v>2430</v>
      </c>
      <c r="K8" s="22"/>
      <c r="L8" s="22"/>
      <c r="M8" s="22"/>
      <c r="N8" s="22">
        <v>3067</v>
      </c>
      <c r="O8" s="22"/>
      <c r="P8" s="22"/>
      <c r="Q8" s="22"/>
      <c r="R8" s="22">
        <v>290</v>
      </c>
      <c r="S8" s="22"/>
      <c r="T8" s="22"/>
      <c r="U8" s="22"/>
    </row>
    <row r="9" spans="1:27" x14ac:dyDescent="0.2">
      <c r="A9" s="1" t="s">
        <v>18</v>
      </c>
      <c r="B9" s="22">
        <v>5885</v>
      </c>
      <c r="C9" s="22"/>
      <c r="D9" s="22"/>
      <c r="E9" s="22"/>
      <c r="F9" s="22"/>
      <c r="G9" s="22"/>
      <c r="H9" s="22"/>
      <c r="I9" s="22"/>
      <c r="J9" s="22">
        <v>2430</v>
      </c>
      <c r="K9" s="22"/>
      <c r="L9" s="22"/>
      <c r="M9" s="22"/>
      <c r="N9" s="22">
        <v>3067</v>
      </c>
      <c r="O9" s="22"/>
      <c r="P9" s="22"/>
      <c r="Q9" s="22"/>
      <c r="R9" s="22">
        <v>290</v>
      </c>
      <c r="S9" s="22"/>
      <c r="T9" s="22"/>
      <c r="U9" s="22"/>
    </row>
    <row r="10" spans="1:27" x14ac:dyDescent="0.2">
      <c r="A10" s="82" t="s">
        <v>19</v>
      </c>
      <c r="B10" s="22">
        <v>5861</v>
      </c>
      <c r="C10" s="22"/>
      <c r="D10" s="22"/>
      <c r="E10" s="104"/>
      <c r="F10" s="104"/>
      <c r="G10" s="22"/>
      <c r="H10" s="22"/>
      <c r="I10" s="83"/>
      <c r="J10" s="22">
        <v>3890</v>
      </c>
      <c r="K10" s="22"/>
      <c r="L10" s="22"/>
      <c r="M10" s="84"/>
      <c r="N10" s="22">
        <v>580</v>
      </c>
      <c r="O10" s="22"/>
      <c r="P10" s="22"/>
      <c r="Q10" s="84"/>
      <c r="R10" s="22">
        <v>1250</v>
      </c>
      <c r="S10" s="22"/>
      <c r="T10" s="22"/>
      <c r="U10" s="84"/>
    </row>
    <row r="11" spans="1:27" x14ac:dyDescent="0.2">
      <c r="A11" s="1" t="s">
        <v>10</v>
      </c>
      <c r="B11" s="22">
        <v>5853</v>
      </c>
      <c r="C11" s="22"/>
      <c r="D11" s="22"/>
      <c r="E11" s="22"/>
      <c r="F11" s="22"/>
      <c r="G11" s="22"/>
      <c r="H11" s="22"/>
      <c r="I11" s="22"/>
      <c r="J11" s="22">
        <v>5340</v>
      </c>
      <c r="K11" s="22"/>
      <c r="L11" s="22"/>
      <c r="M11" s="22"/>
      <c r="N11" s="22">
        <v>580</v>
      </c>
      <c r="O11" s="22"/>
      <c r="P11" s="22"/>
      <c r="Q11" s="22"/>
      <c r="R11" s="22">
        <v>1250</v>
      </c>
      <c r="S11" s="22"/>
      <c r="T11" s="22"/>
      <c r="U11" s="22"/>
    </row>
    <row r="12" spans="1:27" x14ac:dyDescent="0.2">
      <c r="A12" s="1" t="s">
        <v>11</v>
      </c>
      <c r="B12" s="22">
        <v>5661</v>
      </c>
      <c r="C12" s="22"/>
      <c r="D12" s="22"/>
      <c r="E12" s="22"/>
      <c r="F12" s="22"/>
      <c r="G12" s="22"/>
      <c r="H12" s="22"/>
      <c r="I12" s="22"/>
      <c r="J12" s="22">
        <v>8505</v>
      </c>
      <c r="K12" s="22"/>
      <c r="L12" s="22"/>
      <c r="M12" s="22"/>
      <c r="N12" s="22">
        <v>1950</v>
      </c>
      <c r="O12" s="22"/>
      <c r="P12" s="22"/>
      <c r="Q12" s="22"/>
      <c r="R12" s="22">
        <v>1250</v>
      </c>
      <c r="S12" s="22"/>
      <c r="T12" s="22"/>
      <c r="U12" s="22"/>
    </row>
    <row r="13" spans="1:27" x14ac:dyDescent="0.2">
      <c r="A13" s="1" t="s">
        <v>12</v>
      </c>
      <c r="B13" s="22">
        <v>6135</v>
      </c>
      <c r="C13" s="22"/>
      <c r="D13" s="22"/>
      <c r="E13" s="22"/>
      <c r="F13" s="22"/>
      <c r="G13" s="22"/>
      <c r="H13" s="22"/>
      <c r="I13" s="22"/>
      <c r="J13" s="22">
        <v>9000</v>
      </c>
      <c r="K13" s="22"/>
      <c r="L13" s="22"/>
      <c r="M13" s="22"/>
      <c r="N13" s="22">
        <v>1977</v>
      </c>
      <c r="O13" s="22"/>
      <c r="P13" s="22"/>
      <c r="Q13" s="22"/>
      <c r="R13" s="22">
        <v>1250</v>
      </c>
      <c r="S13" s="22"/>
      <c r="T13" s="22"/>
      <c r="U13" s="22"/>
    </row>
    <row r="14" spans="1:27" x14ac:dyDescent="0.2">
      <c r="A14" s="1" t="s">
        <v>13</v>
      </c>
      <c r="B14" s="22">
        <v>5916</v>
      </c>
      <c r="C14" s="22"/>
      <c r="D14" s="22"/>
      <c r="E14" s="22"/>
      <c r="F14" s="22"/>
      <c r="G14" s="22"/>
      <c r="H14" s="22"/>
      <c r="I14" s="22"/>
      <c r="J14" s="22">
        <v>8740</v>
      </c>
      <c r="K14" s="22"/>
      <c r="L14" s="22"/>
      <c r="M14" s="22"/>
      <c r="N14" s="22">
        <v>1970</v>
      </c>
      <c r="O14" s="22"/>
      <c r="P14" s="22"/>
      <c r="Q14" s="22"/>
      <c r="R14" s="22">
        <v>1307</v>
      </c>
      <c r="S14" s="22"/>
      <c r="T14" s="22"/>
      <c r="U14" s="22"/>
    </row>
    <row r="15" spans="1:27" x14ac:dyDescent="0.2">
      <c r="A15" s="1" t="s">
        <v>14</v>
      </c>
      <c r="B15" s="22">
        <v>6093</v>
      </c>
      <c r="C15" s="22"/>
      <c r="D15" s="22"/>
      <c r="E15" s="22"/>
      <c r="F15" s="22"/>
      <c r="G15" s="22"/>
      <c r="H15" s="22"/>
      <c r="I15" s="22"/>
      <c r="J15" s="22">
        <v>7608</v>
      </c>
      <c r="K15" s="22"/>
      <c r="L15" s="22"/>
      <c r="M15" s="22"/>
      <c r="N15" s="22">
        <v>1130</v>
      </c>
      <c r="O15" s="22"/>
      <c r="P15" s="22"/>
      <c r="Q15" s="22"/>
      <c r="R15" s="22">
        <v>1250</v>
      </c>
      <c r="S15" s="22"/>
      <c r="T15" s="22"/>
      <c r="U15" s="22"/>
    </row>
    <row r="16" spans="1:27" x14ac:dyDescent="0.2">
      <c r="A16" s="1" t="s">
        <v>6</v>
      </c>
      <c r="B16" s="22">
        <f t="shared" ref="B16:M16" si="0">SUM(B4:B15)</f>
        <v>71000</v>
      </c>
      <c r="C16" s="22">
        <f t="shared" si="0"/>
        <v>0</v>
      </c>
      <c r="D16" s="22">
        <f t="shared" si="0"/>
        <v>0</v>
      </c>
      <c r="E16" s="83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57745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U16" si="1">SUM(N4:N15)</f>
        <v>26589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9297</v>
      </c>
      <c r="S16" s="22">
        <f t="shared" si="1"/>
        <v>0</v>
      </c>
      <c r="T16" s="22">
        <f t="shared" si="1"/>
        <v>0</v>
      </c>
      <c r="U16" s="22">
        <f t="shared" si="1"/>
        <v>0</v>
      </c>
    </row>
    <row r="17" spans="1:21" x14ac:dyDescent="0.2">
      <c r="A17" s="28" t="s">
        <v>28</v>
      </c>
      <c r="B17" s="30">
        <f t="shared" ref="B17:L17" si="2">B4+B5</f>
        <v>11583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4942</v>
      </c>
      <c r="K17" s="30">
        <f t="shared" si="2"/>
        <v>0</v>
      </c>
      <c r="L17" s="30">
        <f t="shared" si="2"/>
        <v>0</v>
      </c>
      <c r="M17" s="30">
        <f t="shared" ref="M17:U17" si="3">M4+M5</f>
        <v>0</v>
      </c>
      <c r="N17" s="30">
        <f t="shared" si="3"/>
        <v>6134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580</v>
      </c>
      <c r="S17" s="30">
        <f t="shared" si="3"/>
        <v>0</v>
      </c>
      <c r="T17" s="30">
        <f t="shared" si="3"/>
        <v>0</v>
      </c>
      <c r="U17" s="30">
        <f t="shared" si="3"/>
        <v>0</v>
      </c>
    </row>
    <row r="18" spans="1:21" x14ac:dyDescent="0.2">
      <c r="A18" s="28" t="s">
        <v>96</v>
      </c>
      <c r="B18" s="30">
        <f t="shared" ref="B18:B27" si="4">B17+B6</f>
        <v>17605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0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7372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9201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870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</row>
    <row r="19" spans="1:21" x14ac:dyDescent="0.2">
      <c r="A19" s="28" t="s">
        <v>29</v>
      </c>
      <c r="B19" s="30">
        <f t="shared" si="4"/>
        <v>23503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0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9802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12268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1160</v>
      </c>
      <c r="S19" s="30">
        <f t="shared" si="18"/>
        <v>0</v>
      </c>
      <c r="T19" s="30">
        <f t="shared" si="19"/>
        <v>0</v>
      </c>
      <c r="U19" s="30">
        <f t="shared" si="20"/>
        <v>0</v>
      </c>
    </row>
    <row r="20" spans="1:21" x14ac:dyDescent="0.2">
      <c r="A20" s="28" t="s">
        <v>30</v>
      </c>
      <c r="B20" s="30">
        <f t="shared" si="4"/>
        <v>29596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0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12232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15335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1450</v>
      </c>
      <c r="S20" s="30">
        <f t="shared" si="18"/>
        <v>0</v>
      </c>
      <c r="T20" s="30">
        <f t="shared" si="19"/>
        <v>0</v>
      </c>
      <c r="U20" s="30">
        <f t="shared" si="20"/>
        <v>0</v>
      </c>
    </row>
    <row r="21" spans="1:21" x14ac:dyDescent="0.2">
      <c r="A21" s="28" t="s">
        <v>31</v>
      </c>
      <c r="B21" s="30">
        <f t="shared" si="4"/>
        <v>35481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0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14662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18402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1740</v>
      </c>
      <c r="S21" s="30">
        <f t="shared" si="18"/>
        <v>0</v>
      </c>
      <c r="T21" s="30">
        <f t="shared" si="19"/>
        <v>0</v>
      </c>
      <c r="U21" s="30">
        <f t="shared" si="20"/>
        <v>0</v>
      </c>
    </row>
    <row r="22" spans="1:21" x14ac:dyDescent="0.2">
      <c r="A22" s="28" t="s">
        <v>32</v>
      </c>
      <c r="B22" s="30">
        <f t="shared" si="4"/>
        <v>41342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0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18552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18982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2990</v>
      </c>
      <c r="S22" s="30">
        <f t="shared" si="18"/>
        <v>0</v>
      </c>
      <c r="T22" s="30">
        <f t="shared" si="19"/>
        <v>0</v>
      </c>
      <c r="U22" s="30">
        <f t="shared" si="20"/>
        <v>0</v>
      </c>
    </row>
    <row r="23" spans="1:21" x14ac:dyDescent="0.2">
      <c r="A23" s="28" t="s">
        <v>33</v>
      </c>
      <c r="B23" s="30">
        <f t="shared" si="4"/>
        <v>47195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0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23892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19562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4240</v>
      </c>
      <c r="S23" s="30">
        <f t="shared" si="18"/>
        <v>0</v>
      </c>
      <c r="T23" s="30">
        <f t="shared" si="19"/>
        <v>0</v>
      </c>
      <c r="U23" s="30">
        <f t="shared" si="20"/>
        <v>0</v>
      </c>
    </row>
    <row r="24" spans="1:21" x14ac:dyDescent="0.2">
      <c r="A24" s="28" t="s">
        <v>34</v>
      </c>
      <c r="B24" s="30">
        <f t="shared" si="4"/>
        <v>52856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0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32397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21512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5490</v>
      </c>
      <c r="S24" s="30">
        <f t="shared" si="18"/>
        <v>0</v>
      </c>
      <c r="T24" s="30">
        <f t="shared" si="19"/>
        <v>0</v>
      </c>
      <c r="U24" s="30">
        <f t="shared" si="20"/>
        <v>0</v>
      </c>
    </row>
    <row r="25" spans="1:21" x14ac:dyDescent="0.2">
      <c r="A25" s="29" t="s">
        <v>35</v>
      </c>
      <c r="B25" s="31">
        <f t="shared" si="4"/>
        <v>58991</v>
      </c>
      <c r="C25" s="31">
        <f t="shared" si="5"/>
        <v>0</v>
      </c>
      <c r="D25" s="31">
        <f t="shared" si="6"/>
        <v>0</v>
      </c>
      <c r="E25" s="31">
        <f t="shared" si="6"/>
        <v>0</v>
      </c>
      <c r="F25" s="31">
        <f t="shared" si="7"/>
        <v>0</v>
      </c>
      <c r="G25" s="31">
        <f t="shared" si="8"/>
        <v>0</v>
      </c>
      <c r="H25" s="31">
        <f t="shared" si="9"/>
        <v>0</v>
      </c>
      <c r="I25" s="31">
        <f t="shared" si="9"/>
        <v>0</v>
      </c>
      <c r="J25" s="31">
        <f t="shared" si="10"/>
        <v>41397</v>
      </c>
      <c r="K25" s="31">
        <f t="shared" si="11"/>
        <v>0</v>
      </c>
      <c r="L25" s="31">
        <f t="shared" si="12"/>
        <v>0</v>
      </c>
      <c r="M25" s="31">
        <f t="shared" si="12"/>
        <v>0</v>
      </c>
      <c r="N25" s="31">
        <f t="shared" si="13"/>
        <v>23489</v>
      </c>
      <c r="O25" s="31">
        <f t="shared" si="14"/>
        <v>0</v>
      </c>
      <c r="P25" s="31">
        <f t="shared" si="15"/>
        <v>0</v>
      </c>
      <c r="Q25" s="31">
        <f t="shared" si="16"/>
        <v>0</v>
      </c>
      <c r="R25" s="31">
        <f t="shared" si="17"/>
        <v>6740</v>
      </c>
      <c r="S25" s="31">
        <f t="shared" si="18"/>
        <v>0</v>
      </c>
      <c r="T25" s="31">
        <f t="shared" si="19"/>
        <v>0</v>
      </c>
      <c r="U25" s="31">
        <f t="shared" si="20"/>
        <v>0</v>
      </c>
    </row>
    <row r="26" spans="1:21" x14ac:dyDescent="0.2">
      <c r="A26" s="29" t="s">
        <v>36</v>
      </c>
      <c r="B26" s="31">
        <f t="shared" si="4"/>
        <v>64907</v>
      </c>
      <c r="C26" s="31">
        <f t="shared" si="5"/>
        <v>0</v>
      </c>
      <c r="D26" s="31">
        <f t="shared" si="6"/>
        <v>0</v>
      </c>
      <c r="E26" s="31">
        <f t="shared" si="6"/>
        <v>0</v>
      </c>
      <c r="F26" s="31">
        <f t="shared" si="7"/>
        <v>0</v>
      </c>
      <c r="G26" s="31">
        <f t="shared" si="8"/>
        <v>0</v>
      </c>
      <c r="H26" s="31">
        <f t="shared" si="9"/>
        <v>0</v>
      </c>
      <c r="I26" s="31">
        <f t="shared" si="9"/>
        <v>0</v>
      </c>
      <c r="J26" s="31">
        <f t="shared" si="10"/>
        <v>50137</v>
      </c>
      <c r="K26" s="31">
        <f t="shared" si="11"/>
        <v>0</v>
      </c>
      <c r="L26" s="31">
        <f t="shared" si="12"/>
        <v>0</v>
      </c>
      <c r="M26" s="31">
        <f t="shared" si="12"/>
        <v>0</v>
      </c>
      <c r="N26" s="31">
        <f t="shared" si="13"/>
        <v>25459</v>
      </c>
      <c r="O26" s="31">
        <f t="shared" si="14"/>
        <v>0</v>
      </c>
      <c r="P26" s="31">
        <f t="shared" si="15"/>
        <v>0</v>
      </c>
      <c r="Q26" s="31">
        <f t="shared" si="16"/>
        <v>0</v>
      </c>
      <c r="R26" s="31">
        <f t="shared" si="17"/>
        <v>8047</v>
      </c>
      <c r="S26" s="31">
        <f t="shared" si="18"/>
        <v>0</v>
      </c>
      <c r="T26" s="31">
        <f t="shared" si="19"/>
        <v>0</v>
      </c>
      <c r="U26" s="31">
        <f t="shared" si="20"/>
        <v>0</v>
      </c>
    </row>
    <row r="27" spans="1:21" x14ac:dyDescent="0.2">
      <c r="A27" s="12" t="s">
        <v>15</v>
      </c>
      <c r="B27" s="32">
        <f t="shared" si="4"/>
        <v>71000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57745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26589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9297</v>
      </c>
      <c r="S27" s="32">
        <f t="shared" si="18"/>
        <v>0</v>
      </c>
      <c r="T27" s="32">
        <f t="shared" si="19"/>
        <v>0</v>
      </c>
      <c r="U27" s="32">
        <f t="shared" si="20"/>
        <v>0</v>
      </c>
    </row>
  </sheetData>
  <mergeCells count="7">
    <mergeCell ref="O2:Q2"/>
    <mergeCell ref="S2:U2"/>
    <mergeCell ref="K2:M2"/>
    <mergeCell ref="B1:D1"/>
    <mergeCell ref="F1:H1"/>
    <mergeCell ref="C2:E2"/>
    <mergeCell ref="G2:I2"/>
  </mergeCells>
  <phoneticPr fontId="0" type="noConversion"/>
  <pageMargins left="0.75" right="0.75" top="1" bottom="1" header="0.5" footer="0.5"/>
  <pageSetup paperSize="9" scale="3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pane xSplit="1" ySplit="2" topLeftCell="J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4.5703125" bestFit="1" customWidth="1"/>
    <col min="5" max="5" width="14.5703125" customWidth="1"/>
    <col min="7" max="7" width="11" bestFit="1" customWidth="1"/>
    <col min="8" max="8" width="10.5703125" bestFit="1" customWidth="1"/>
    <col min="9" max="9" width="10.5703125" customWidth="1"/>
    <col min="12" max="12" width="13.42578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24" t="s">
        <v>22</v>
      </c>
      <c r="L1" s="25"/>
      <c r="N1" s="357" t="s">
        <v>185</v>
      </c>
      <c r="O1" s="358"/>
      <c r="P1" s="357"/>
      <c r="Q1" s="114"/>
      <c r="R1" s="359" t="s">
        <v>193</v>
      </c>
      <c r="S1" s="358"/>
      <c r="T1" s="358"/>
      <c r="U1" s="20"/>
      <c r="V1" s="19"/>
      <c r="W1" s="24" t="s">
        <v>248</v>
      </c>
      <c r="X1" s="25"/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60" t="s">
        <v>25</v>
      </c>
      <c r="H2" s="357"/>
      <c r="I2" s="361"/>
      <c r="J2" s="5" t="s">
        <v>6</v>
      </c>
      <c r="K2" s="360" t="s">
        <v>25</v>
      </c>
      <c r="L2" s="357"/>
      <c r="M2" s="361"/>
      <c r="N2" s="6" t="s">
        <v>6</v>
      </c>
      <c r="O2" s="360" t="s">
        <v>25</v>
      </c>
      <c r="P2" s="357"/>
      <c r="Q2" s="361"/>
      <c r="R2" s="6" t="s">
        <v>6</v>
      </c>
      <c r="S2" s="360" t="s">
        <v>25</v>
      </c>
      <c r="T2" s="357"/>
      <c r="U2" s="361"/>
      <c r="V2" s="5" t="s">
        <v>6</v>
      </c>
      <c r="W2" s="360" t="s">
        <v>25</v>
      </c>
      <c r="X2" s="357"/>
      <c r="Y2" s="361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9"/>
      <c r="O3" s="17" t="s">
        <v>27</v>
      </c>
      <c r="P3" s="15" t="s">
        <v>26</v>
      </c>
      <c r="Q3" s="115" t="s">
        <v>105</v>
      </c>
      <c r="R3" s="9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</row>
    <row r="4" spans="1:27" x14ac:dyDescent="0.2">
      <c r="A4" s="1" t="s">
        <v>4</v>
      </c>
      <c r="B4" s="22">
        <v>274</v>
      </c>
      <c r="C4" s="22"/>
      <c r="D4" s="22"/>
      <c r="E4" s="22"/>
      <c r="F4" s="22">
        <v>485</v>
      </c>
      <c r="G4" s="22"/>
      <c r="H4" s="22"/>
      <c r="I4" s="22"/>
      <c r="J4" s="22">
        <v>1719</v>
      </c>
      <c r="K4" s="22"/>
      <c r="L4" s="22"/>
      <c r="M4" s="22"/>
      <c r="N4" s="22">
        <v>1987</v>
      </c>
      <c r="O4" s="22"/>
      <c r="P4" s="22"/>
      <c r="Q4" s="22"/>
      <c r="R4" s="22"/>
      <c r="S4" s="22"/>
      <c r="T4" s="22"/>
      <c r="U4" s="22"/>
      <c r="V4" s="22">
        <v>600</v>
      </c>
      <c r="W4" s="22"/>
      <c r="X4" s="22"/>
      <c r="Y4" s="22"/>
    </row>
    <row r="5" spans="1:27" x14ac:dyDescent="0.2">
      <c r="A5" s="1" t="s">
        <v>7</v>
      </c>
      <c r="B5" s="22">
        <v>252</v>
      </c>
      <c r="C5" s="22"/>
      <c r="D5" s="22"/>
      <c r="E5" s="22"/>
      <c r="F5" s="22">
        <v>471</v>
      </c>
      <c r="G5" s="22"/>
      <c r="H5" s="22"/>
      <c r="I5" s="22"/>
      <c r="J5" s="22">
        <v>2024</v>
      </c>
      <c r="K5" s="22"/>
      <c r="L5" s="22"/>
      <c r="M5" s="22"/>
      <c r="N5" s="22">
        <v>2339</v>
      </c>
      <c r="O5" s="22"/>
      <c r="P5" s="22"/>
      <c r="Q5" s="22"/>
      <c r="R5" s="22"/>
      <c r="S5" s="22"/>
      <c r="T5" s="22"/>
      <c r="U5" s="22"/>
      <c r="V5" s="22">
        <v>400</v>
      </c>
      <c r="W5" s="22"/>
      <c r="X5" s="22"/>
      <c r="Y5" s="22"/>
    </row>
    <row r="6" spans="1:27" x14ac:dyDescent="0.2">
      <c r="A6" s="1" t="s">
        <v>8</v>
      </c>
      <c r="B6" s="22">
        <v>275</v>
      </c>
      <c r="C6" s="22"/>
      <c r="D6" s="22"/>
      <c r="E6" s="22"/>
      <c r="F6" s="22">
        <v>495</v>
      </c>
      <c r="G6" s="22"/>
      <c r="H6" s="22"/>
      <c r="I6" s="22"/>
      <c r="J6" s="22">
        <v>2023</v>
      </c>
      <c r="K6" s="22"/>
      <c r="L6" s="22"/>
      <c r="M6" s="22"/>
      <c r="N6" s="22">
        <v>2339</v>
      </c>
      <c r="O6" s="22"/>
      <c r="P6" s="22"/>
      <c r="Q6" s="22"/>
      <c r="R6" s="22"/>
      <c r="S6" s="22"/>
      <c r="T6" s="22"/>
      <c r="U6" s="22"/>
      <c r="V6" s="22">
        <v>490</v>
      </c>
      <c r="W6" s="22"/>
      <c r="X6" s="22"/>
      <c r="Y6" s="22"/>
    </row>
    <row r="7" spans="1:27" x14ac:dyDescent="0.2">
      <c r="A7" s="1" t="s">
        <v>16</v>
      </c>
      <c r="B7" s="22">
        <v>255</v>
      </c>
      <c r="C7" s="22"/>
      <c r="D7" s="22"/>
      <c r="E7" s="22"/>
      <c r="F7" s="22">
        <v>505</v>
      </c>
      <c r="G7" s="22"/>
      <c r="H7" s="22"/>
      <c r="I7" s="22"/>
      <c r="J7" s="22">
        <v>2064</v>
      </c>
      <c r="K7" s="22"/>
      <c r="L7" s="22"/>
      <c r="M7" s="22"/>
      <c r="N7" s="22">
        <v>2384</v>
      </c>
      <c r="O7" s="22"/>
      <c r="P7" s="22"/>
      <c r="Q7" s="22"/>
      <c r="R7" s="22"/>
      <c r="S7" s="22"/>
      <c r="T7" s="22"/>
      <c r="U7" s="22"/>
      <c r="V7" s="22">
        <v>480</v>
      </c>
      <c r="W7" s="22"/>
      <c r="X7" s="22"/>
      <c r="Y7" s="22"/>
    </row>
    <row r="8" spans="1:27" x14ac:dyDescent="0.2">
      <c r="A8" s="1" t="s">
        <v>17</v>
      </c>
      <c r="B8" s="22">
        <v>274</v>
      </c>
      <c r="C8" s="22"/>
      <c r="D8" s="22"/>
      <c r="E8" s="22"/>
      <c r="F8" s="22">
        <v>465</v>
      </c>
      <c r="G8" s="22"/>
      <c r="H8" s="22"/>
      <c r="I8" s="22"/>
      <c r="J8" s="22">
        <v>1714</v>
      </c>
      <c r="K8" s="22"/>
      <c r="L8" s="22"/>
      <c r="M8" s="22"/>
      <c r="N8" s="22">
        <v>1980</v>
      </c>
      <c r="O8" s="22"/>
      <c r="P8" s="22"/>
      <c r="Q8" s="22"/>
      <c r="R8" s="22"/>
      <c r="S8" s="22"/>
      <c r="T8" s="22"/>
      <c r="U8" s="22"/>
      <c r="V8" s="22">
        <v>400</v>
      </c>
      <c r="W8" s="22"/>
      <c r="X8" s="22"/>
      <c r="Y8" s="22"/>
    </row>
    <row r="9" spans="1:27" x14ac:dyDescent="0.2">
      <c r="A9" s="1" t="s">
        <v>18</v>
      </c>
      <c r="B9" s="22">
        <v>255</v>
      </c>
      <c r="C9" s="22"/>
      <c r="D9" s="22"/>
      <c r="E9" s="22"/>
      <c r="F9" s="22">
        <v>492</v>
      </c>
      <c r="G9" s="22"/>
      <c r="H9" s="22"/>
      <c r="I9" s="22"/>
      <c r="J9" s="22">
        <v>1820</v>
      </c>
      <c r="K9" s="22"/>
      <c r="L9" s="22"/>
      <c r="M9" s="22"/>
      <c r="N9" s="22">
        <v>2103</v>
      </c>
      <c r="O9" s="22"/>
      <c r="P9" s="22"/>
      <c r="Q9" s="22"/>
      <c r="R9" s="22"/>
      <c r="S9" s="22"/>
      <c r="T9" s="22"/>
      <c r="U9" s="22"/>
      <c r="V9" s="22">
        <v>360</v>
      </c>
      <c r="W9" s="22"/>
      <c r="X9" s="22"/>
      <c r="Y9" s="22"/>
    </row>
    <row r="10" spans="1:27" x14ac:dyDescent="0.2">
      <c r="A10" s="82" t="s">
        <v>19</v>
      </c>
      <c r="B10" s="22">
        <v>273</v>
      </c>
      <c r="C10" s="104"/>
      <c r="D10" s="104"/>
      <c r="E10" s="104"/>
      <c r="F10" s="22">
        <v>492</v>
      </c>
      <c r="G10" s="104"/>
      <c r="H10" s="104"/>
      <c r="I10" s="104"/>
      <c r="J10" s="22">
        <v>3882</v>
      </c>
      <c r="K10" s="104"/>
      <c r="L10" s="104"/>
      <c r="M10" s="104"/>
      <c r="N10" s="22">
        <v>1932</v>
      </c>
      <c r="O10" s="104"/>
      <c r="P10" s="104"/>
      <c r="Q10" s="104"/>
      <c r="R10" s="22">
        <v>165</v>
      </c>
      <c r="S10" s="104"/>
      <c r="T10" s="104"/>
      <c r="U10" s="104"/>
      <c r="V10" s="22">
        <f>367+46</f>
        <v>413</v>
      </c>
      <c r="W10" s="104"/>
      <c r="X10" s="104"/>
      <c r="Y10" s="104"/>
    </row>
    <row r="11" spans="1:27" x14ac:dyDescent="0.2">
      <c r="A11" s="1" t="s">
        <v>10</v>
      </c>
      <c r="B11" s="22">
        <v>273</v>
      </c>
      <c r="C11" s="22"/>
      <c r="D11" s="22"/>
      <c r="E11" s="22"/>
      <c r="F11" s="22">
        <v>510</v>
      </c>
      <c r="G11" s="22"/>
      <c r="H11" s="22"/>
      <c r="I11" s="22"/>
      <c r="J11" s="22">
        <v>3000</v>
      </c>
      <c r="K11" s="22"/>
      <c r="L11" s="22"/>
      <c r="M11" s="22"/>
      <c r="N11" s="22">
        <v>1417</v>
      </c>
      <c r="O11" s="22"/>
      <c r="P11" s="22"/>
      <c r="Q11" s="22"/>
      <c r="R11" s="22">
        <v>165</v>
      </c>
      <c r="S11" s="22"/>
      <c r="T11" s="22"/>
      <c r="U11" s="22"/>
      <c r="V11" s="22">
        <f>367+46</f>
        <v>413</v>
      </c>
      <c r="W11" s="22"/>
      <c r="X11" s="22"/>
      <c r="Y11" s="22"/>
    </row>
    <row r="12" spans="1:27" x14ac:dyDescent="0.2">
      <c r="A12" s="1" t="s">
        <v>11</v>
      </c>
      <c r="B12" s="22">
        <v>255</v>
      </c>
      <c r="C12" s="22"/>
      <c r="D12" s="22"/>
      <c r="E12" s="22"/>
      <c r="F12" s="22">
        <v>520</v>
      </c>
      <c r="G12" s="22"/>
      <c r="H12" s="22"/>
      <c r="I12" s="22"/>
      <c r="J12" s="22">
        <v>4510</v>
      </c>
      <c r="K12" s="22"/>
      <c r="L12" s="22"/>
      <c r="M12" s="22"/>
      <c r="N12" s="22">
        <v>2208</v>
      </c>
      <c r="O12" s="22"/>
      <c r="P12" s="22"/>
      <c r="Q12" s="22"/>
      <c r="R12" s="22">
        <v>165</v>
      </c>
      <c r="S12" s="22"/>
      <c r="T12" s="22"/>
      <c r="U12" s="22"/>
      <c r="V12" s="22">
        <f>367+46</f>
        <v>413</v>
      </c>
      <c r="W12" s="22"/>
      <c r="X12" s="22"/>
      <c r="Y12" s="22"/>
    </row>
    <row r="13" spans="1:27" x14ac:dyDescent="0.2">
      <c r="A13" s="1" t="s">
        <v>12</v>
      </c>
      <c r="B13" s="22">
        <v>274</v>
      </c>
      <c r="C13" s="22"/>
      <c r="D13" s="22"/>
      <c r="E13" s="22"/>
      <c r="F13" s="22">
        <v>524</v>
      </c>
      <c r="G13" s="22"/>
      <c r="H13" s="22"/>
      <c r="I13" s="22"/>
      <c r="J13" s="22">
        <v>5498</v>
      </c>
      <c r="K13" s="22"/>
      <c r="L13" s="22"/>
      <c r="M13" s="22"/>
      <c r="N13" s="22">
        <v>2618</v>
      </c>
      <c r="O13" s="22"/>
      <c r="P13" s="22"/>
      <c r="Q13" s="22"/>
      <c r="R13" s="22">
        <v>168</v>
      </c>
      <c r="S13" s="22"/>
      <c r="T13" s="22"/>
      <c r="U13" s="22"/>
      <c r="V13" s="22">
        <f>360+46</f>
        <v>406</v>
      </c>
      <c r="W13" s="22"/>
      <c r="X13" s="22"/>
      <c r="Y13" s="22"/>
    </row>
    <row r="14" spans="1:27" x14ac:dyDescent="0.2">
      <c r="A14" s="1" t="s">
        <v>13</v>
      </c>
      <c r="B14" s="22">
        <v>256</v>
      </c>
      <c r="C14" s="22"/>
      <c r="D14" s="22"/>
      <c r="E14" s="22"/>
      <c r="F14" s="22">
        <v>525</v>
      </c>
      <c r="G14" s="22"/>
      <c r="H14" s="22"/>
      <c r="I14" s="22"/>
      <c r="J14" s="22">
        <v>5587</v>
      </c>
      <c r="K14" s="22"/>
      <c r="L14" s="22"/>
      <c r="M14" s="22"/>
      <c r="N14" s="22">
        <v>2671</v>
      </c>
      <c r="O14" s="22"/>
      <c r="P14" s="22"/>
      <c r="Q14" s="22"/>
      <c r="R14" s="22">
        <v>168</v>
      </c>
      <c r="S14" s="22"/>
      <c r="T14" s="22"/>
      <c r="U14" s="22"/>
      <c r="V14" s="22">
        <f>360+46</f>
        <v>406</v>
      </c>
      <c r="W14" s="22"/>
      <c r="X14" s="22"/>
      <c r="Y14" s="22"/>
    </row>
    <row r="15" spans="1:27" x14ac:dyDescent="0.2">
      <c r="A15" s="1" t="s">
        <v>14</v>
      </c>
      <c r="B15" s="22">
        <v>284</v>
      </c>
      <c r="C15" s="22"/>
      <c r="D15" s="22"/>
      <c r="E15" s="22"/>
      <c r="F15" s="22">
        <v>516</v>
      </c>
      <c r="G15" s="22"/>
      <c r="H15" s="22"/>
      <c r="I15" s="22"/>
      <c r="J15" s="22">
        <v>5595</v>
      </c>
      <c r="K15" s="22"/>
      <c r="L15" s="22"/>
      <c r="M15" s="22"/>
      <c r="N15" s="22">
        <v>2678</v>
      </c>
      <c r="O15" s="22"/>
      <c r="P15" s="22"/>
      <c r="Q15" s="22"/>
      <c r="R15" s="22">
        <v>169</v>
      </c>
      <c r="S15" s="22"/>
      <c r="T15" s="22"/>
      <c r="U15" s="22"/>
      <c r="V15" s="22">
        <f>370+49</f>
        <v>419</v>
      </c>
      <c r="W15" s="22"/>
      <c r="X15" s="22"/>
      <c r="Y15" s="22"/>
    </row>
    <row r="16" spans="1:27" x14ac:dyDescent="0.2">
      <c r="A16" s="1" t="s">
        <v>6</v>
      </c>
      <c r="B16" s="22">
        <f>SUM(B4:B15)</f>
        <v>3200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6000</v>
      </c>
      <c r="G16" s="22">
        <f>SUM(G4:G15)</f>
        <v>0</v>
      </c>
      <c r="H16" s="22">
        <f>SUM(H4:H15)</f>
        <v>0</v>
      </c>
      <c r="I16" s="22">
        <f>SUM(I4:I15)</f>
        <v>0</v>
      </c>
      <c r="J16" s="22">
        <f t="shared" si="0"/>
        <v>39436</v>
      </c>
      <c r="K16" s="22">
        <f>SUM(K4:K15)</f>
        <v>0</v>
      </c>
      <c r="L16" s="22">
        <f>SUM(L4:L15)</f>
        <v>0</v>
      </c>
      <c r="M16" s="22">
        <f t="shared" si="0"/>
        <v>0</v>
      </c>
      <c r="N16" s="22">
        <f t="shared" ref="N16:Y16" si="1">SUM(N4:N15)</f>
        <v>26656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1000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5200</v>
      </c>
      <c r="W16" s="22">
        <f t="shared" si="1"/>
        <v>0</v>
      </c>
      <c r="X16" s="22">
        <f t="shared" si="1"/>
        <v>0</v>
      </c>
      <c r="Y16" s="22">
        <f t="shared" si="1"/>
        <v>0</v>
      </c>
    </row>
    <row r="17" spans="1:25" x14ac:dyDescent="0.2">
      <c r="A17" s="28" t="s">
        <v>28</v>
      </c>
      <c r="B17" s="30">
        <f t="shared" ref="B17:L17" si="2">B4+B5</f>
        <v>526</v>
      </c>
      <c r="C17" s="30">
        <f t="shared" si="2"/>
        <v>0</v>
      </c>
      <c r="D17" s="30">
        <f t="shared" si="2"/>
        <v>0</v>
      </c>
      <c r="E17" s="30">
        <f>E4+E5</f>
        <v>0</v>
      </c>
      <c r="F17" s="30">
        <f t="shared" si="2"/>
        <v>956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3743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4326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1000</v>
      </c>
      <c r="W17" s="30">
        <f t="shared" si="3"/>
        <v>0</v>
      </c>
      <c r="X17" s="30">
        <f t="shared" si="3"/>
        <v>0</v>
      </c>
      <c r="Y17" s="30">
        <f t="shared" si="3"/>
        <v>0</v>
      </c>
    </row>
    <row r="18" spans="1:25" x14ac:dyDescent="0.2">
      <c r="A18" s="28"/>
      <c r="B18" s="30">
        <f t="shared" ref="B18:B27" si="4">B17+B6</f>
        <v>801</v>
      </c>
      <c r="C18" s="30">
        <f t="shared" ref="C18:C27" si="5">C17+C6</f>
        <v>0</v>
      </c>
      <c r="D18" s="30">
        <f t="shared" ref="D18:E27" si="6">D17+D6</f>
        <v>0</v>
      </c>
      <c r="E18" s="30">
        <f t="shared" si="6"/>
        <v>0</v>
      </c>
      <c r="F18" s="30">
        <f t="shared" ref="F18:F27" si="7">F17+F6</f>
        <v>1451</v>
      </c>
      <c r="G18" s="30">
        <f t="shared" ref="G18:G27" si="8">G17+G6</f>
        <v>0</v>
      </c>
      <c r="H18" s="30">
        <f t="shared" ref="H18:I27" si="9">H17+H6</f>
        <v>0</v>
      </c>
      <c r="I18" s="30">
        <f t="shared" si="9"/>
        <v>0</v>
      </c>
      <c r="J18" s="30">
        <f t="shared" ref="J18:J27" si="10">J17+J6</f>
        <v>5766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6665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  <c r="R18" s="30">
        <f t="shared" ref="R18:R27" si="17">R17+R6</f>
        <v>0</v>
      </c>
      <c r="S18" s="30">
        <f t="shared" ref="S18:S27" si="18">S17+S6</f>
        <v>0</v>
      </c>
      <c r="T18" s="30">
        <f t="shared" ref="T18:T27" si="19">T17+T6</f>
        <v>0</v>
      </c>
      <c r="U18" s="30">
        <f t="shared" ref="U18:U27" si="20">U17+U6</f>
        <v>0</v>
      </c>
      <c r="V18" s="30">
        <f t="shared" ref="V18:V27" si="21">V17+V6</f>
        <v>1490</v>
      </c>
      <c r="W18" s="30">
        <f t="shared" ref="W18:W27" si="22">W17+W6</f>
        <v>0</v>
      </c>
      <c r="X18" s="30">
        <f t="shared" ref="X18:X27" si="23">X17+X6</f>
        <v>0</v>
      </c>
      <c r="Y18" s="30">
        <f t="shared" ref="Y18:Y27" si="24">Y17+Y6</f>
        <v>0</v>
      </c>
    </row>
    <row r="19" spans="1:25" x14ac:dyDescent="0.2">
      <c r="A19" s="28" t="s">
        <v>29</v>
      </c>
      <c r="B19" s="30">
        <f t="shared" si="4"/>
        <v>1056</v>
      </c>
      <c r="C19" s="30">
        <f t="shared" si="5"/>
        <v>0</v>
      </c>
      <c r="D19" s="30">
        <f t="shared" si="6"/>
        <v>0</v>
      </c>
      <c r="E19" s="30">
        <f t="shared" si="6"/>
        <v>0</v>
      </c>
      <c r="F19" s="30">
        <f t="shared" si="7"/>
        <v>1956</v>
      </c>
      <c r="G19" s="30">
        <f t="shared" si="8"/>
        <v>0</v>
      </c>
      <c r="H19" s="30">
        <f t="shared" si="9"/>
        <v>0</v>
      </c>
      <c r="I19" s="30">
        <f t="shared" si="9"/>
        <v>0</v>
      </c>
      <c r="J19" s="30">
        <f t="shared" si="10"/>
        <v>7830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9049</v>
      </c>
      <c r="O19" s="30">
        <f t="shared" si="14"/>
        <v>0</v>
      </c>
      <c r="P19" s="30">
        <f t="shared" si="15"/>
        <v>0</v>
      </c>
      <c r="Q19" s="30">
        <f t="shared" si="16"/>
        <v>0</v>
      </c>
      <c r="R19" s="30">
        <f t="shared" si="17"/>
        <v>0</v>
      </c>
      <c r="S19" s="30">
        <f t="shared" si="18"/>
        <v>0</v>
      </c>
      <c r="T19" s="30">
        <f t="shared" si="19"/>
        <v>0</v>
      </c>
      <c r="U19" s="30">
        <f t="shared" si="20"/>
        <v>0</v>
      </c>
      <c r="V19" s="30">
        <f t="shared" si="21"/>
        <v>1970</v>
      </c>
      <c r="W19" s="30">
        <f t="shared" si="22"/>
        <v>0</v>
      </c>
      <c r="X19" s="30">
        <f t="shared" si="23"/>
        <v>0</v>
      </c>
      <c r="Y19" s="30">
        <f t="shared" si="24"/>
        <v>0</v>
      </c>
    </row>
    <row r="20" spans="1:25" x14ac:dyDescent="0.2">
      <c r="A20" s="28" t="s">
        <v>30</v>
      </c>
      <c r="B20" s="30">
        <f t="shared" si="4"/>
        <v>1330</v>
      </c>
      <c r="C20" s="30">
        <f t="shared" si="5"/>
        <v>0</v>
      </c>
      <c r="D20" s="30">
        <f t="shared" si="6"/>
        <v>0</v>
      </c>
      <c r="E20" s="30">
        <f t="shared" si="6"/>
        <v>0</v>
      </c>
      <c r="F20" s="30">
        <f t="shared" si="7"/>
        <v>2421</v>
      </c>
      <c r="G20" s="30">
        <f t="shared" si="8"/>
        <v>0</v>
      </c>
      <c r="H20" s="30">
        <f t="shared" si="9"/>
        <v>0</v>
      </c>
      <c r="I20" s="30">
        <f t="shared" si="9"/>
        <v>0</v>
      </c>
      <c r="J20" s="30">
        <f t="shared" si="10"/>
        <v>9544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11029</v>
      </c>
      <c r="O20" s="30">
        <f t="shared" si="14"/>
        <v>0</v>
      </c>
      <c r="P20" s="30">
        <f t="shared" si="15"/>
        <v>0</v>
      </c>
      <c r="Q20" s="30">
        <f t="shared" si="16"/>
        <v>0</v>
      </c>
      <c r="R20" s="30">
        <f t="shared" si="17"/>
        <v>0</v>
      </c>
      <c r="S20" s="30">
        <f t="shared" si="18"/>
        <v>0</v>
      </c>
      <c r="T20" s="30">
        <f t="shared" si="19"/>
        <v>0</v>
      </c>
      <c r="U20" s="30">
        <f t="shared" si="20"/>
        <v>0</v>
      </c>
      <c r="V20" s="30">
        <f t="shared" si="21"/>
        <v>2370</v>
      </c>
      <c r="W20" s="30">
        <f t="shared" si="22"/>
        <v>0</v>
      </c>
      <c r="X20" s="30">
        <f t="shared" si="23"/>
        <v>0</v>
      </c>
      <c r="Y20" s="30">
        <f t="shared" si="24"/>
        <v>0</v>
      </c>
    </row>
    <row r="21" spans="1:25" x14ac:dyDescent="0.2">
      <c r="A21" s="28" t="s">
        <v>31</v>
      </c>
      <c r="B21" s="30">
        <f t="shared" si="4"/>
        <v>1585</v>
      </c>
      <c r="C21" s="30">
        <f t="shared" si="5"/>
        <v>0</v>
      </c>
      <c r="D21" s="30">
        <f t="shared" si="6"/>
        <v>0</v>
      </c>
      <c r="E21" s="30">
        <f t="shared" si="6"/>
        <v>0</v>
      </c>
      <c r="F21" s="30">
        <f t="shared" si="7"/>
        <v>2913</v>
      </c>
      <c r="G21" s="30">
        <f t="shared" si="8"/>
        <v>0</v>
      </c>
      <c r="H21" s="30">
        <f t="shared" si="9"/>
        <v>0</v>
      </c>
      <c r="I21" s="30">
        <f t="shared" si="9"/>
        <v>0</v>
      </c>
      <c r="J21" s="30">
        <f t="shared" si="10"/>
        <v>11364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13132</v>
      </c>
      <c r="O21" s="30">
        <f t="shared" si="14"/>
        <v>0</v>
      </c>
      <c r="P21" s="30">
        <f t="shared" si="15"/>
        <v>0</v>
      </c>
      <c r="Q21" s="30">
        <f t="shared" si="16"/>
        <v>0</v>
      </c>
      <c r="R21" s="30">
        <f t="shared" si="17"/>
        <v>0</v>
      </c>
      <c r="S21" s="30">
        <f t="shared" si="18"/>
        <v>0</v>
      </c>
      <c r="T21" s="30">
        <f t="shared" si="19"/>
        <v>0</v>
      </c>
      <c r="U21" s="30">
        <f t="shared" si="20"/>
        <v>0</v>
      </c>
      <c r="V21" s="30">
        <f t="shared" si="21"/>
        <v>2730</v>
      </c>
      <c r="W21" s="30">
        <f t="shared" si="22"/>
        <v>0</v>
      </c>
      <c r="X21" s="30">
        <f t="shared" si="23"/>
        <v>0</v>
      </c>
      <c r="Y21" s="30">
        <f t="shared" si="24"/>
        <v>0</v>
      </c>
    </row>
    <row r="22" spans="1:25" x14ac:dyDescent="0.2">
      <c r="A22" s="28" t="s">
        <v>32</v>
      </c>
      <c r="B22" s="30">
        <f t="shared" si="4"/>
        <v>1858</v>
      </c>
      <c r="C22" s="30">
        <f t="shared" si="5"/>
        <v>0</v>
      </c>
      <c r="D22" s="30">
        <f t="shared" si="6"/>
        <v>0</v>
      </c>
      <c r="E22" s="30">
        <f t="shared" si="6"/>
        <v>0</v>
      </c>
      <c r="F22" s="30">
        <f t="shared" si="7"/>
        <v>3405</v>
      </c>
      <c r="G22" s="30">
        <f t="shared" si="8"/>
        <v>0</v>
      </c>
      <c r="H22" s="30">
        <f t="shared" si="9"/>
        <v>0</v>
      </c>
      <c r="I22" s="30">
        <f t="shared" si="9"/>
        <v>0</v>
      </c>
      <c r="J22" s="30">
        <f t="shared" si="10"/>
        <v>15246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15064</v>
      </c>
      <c r="O22" s="30">
        <f t="shared" si="14"/>
        <v>0</v>
      </c>
      <c r="P22" s="30">
        <f t="shared" si="15"/>
        <v>0</v>
      </c>
      <c r="Q22" s="30">
        <f t="shared" si="16"/>
        <v>0</v>
      </c>
      <c r="R22" s="30">
        <f t="shared" si="17"/>
        <v>165</v>
      </c>
      <c r="S22" s="30">
        <f t="shared" si="18"/>
        <v>0</v>
      </c>
      <c r="T22" s="30">
        <f t="shared" si="19"/>
        <v>0</v>
      </c>
      <c r="U22" s="30">
        <f t="shared" si="20"/>
        <v>0</v>
      </c>
      <c r="V22" s="30">
        <f t="shared" si="21"/>
        <v>3143</v>
      </c>
      <c r="W22" s="30">
        <f t="shared" si="22"/>
        <v>0</v>
      </c>
      <c r="X22" s="30">
        <f t="shared" si="23"/>
        <v>0</v>
      </c>
      <c r="Y22" s="30">
        <f t="shared" si="24"/>
        <v>0</v>
      </c>
    </row>
    <row r="23" spans="1:25" x14ac:dyDescent="0.2">
      <c r="A23" s="28" t="s">
        <v>33</v>
      </c>
      <c r="B23" s="30">
        <f t="shared" si="4"/>
        <v>2131</v>
      </c>
      <c r="C23" s="30">
        <f t="shared" si="5"/>
        <v>0</v>
      </c>
      <c r="D23" s="30">
        <f t="shared" si="6"/>
        <v>0</v>
      </c>
      <c r="E23" s="30">
        <f t="shared" si="6"/>
        <v>0</v>
      </c>
      <c r="F23" s="30">
        <f t="shared" si="7"/>
        <v>3915</v>
      </c>
      <c r="G23" s="30">
        <f t="shared" si="8"/>
        <v>0</v>
      </c>
      <c r="H23" s="30">
        <f t="shared" si="9"/>
        <v>0</v>
      </c>
      <c r="I23" s="30">
        <f t="shared" si="9"/>
        <v>0</v>
      </c>
      <c r="J23" s="30">
        <f t="shared" si="10"/>
        <v>18246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16481</v>
      </c>
      <c r="O23" s="30">
        <f t="shared" si="14"/>
        <v>0</v>
      </c>
      <c r="P23" s="30">
        <f t="shared" si="15"/>
        <v>0</v>
      </c>
      <c r="Q23" s="30">
        <f t="shared" si="16"/>
        <v>0</v>
      </c>
      <c r="R23" s="30">
        <f t="shared" si="17"/>
        <v>330</v>
      </c>
      <c r="S23" s="30">
        <f t="shared" si="18"/>
        <v>0</v>
      </c>
      <c r="T23" s="30">
        <f t="shared" si="19"/>
        <v>0</v>
      </c>
      <c r="U23" s="30">
        <f t="shared" si="20"/>
        <v>0</v>
      </c>
      <c r="V23" s="30">
        <f t="shared" si="21"/>
        <v>3556</v>
      </c>
      <c r="W23" s="30">
        <f t="shared" si="22"/>
        <v>0</v>
      </c>
      <c r="X23" s="30">
        <f t="shared" si="23"/>
        <v>0</v>
      </c>
      <c r="Y23" s="30">
        <f t="shared" si="24"/>
        <v>0</v>
      </c>
    </row>
    <row r="24" spans="1:25" x14ac:dyDescent="0.2">
      <c r="A24" s="28" t="s">
        <v>34</v>
      </c>
      <c r="B24" s="30">
        <f t="shared" si="4"/>
        <v>2386</v>
      </c>
      <c r="C24" s="30">
        <f t="shared" si="5"/>
        <v>0</v>
      </c>
      <c r="D24" s="30">
        <f t="shared" si="6"/>
        <v>0</v>
      </c>
      <c r="E24" s="30">
        <f t="shared" si="6"/>
        <v>0</v>
      </c>
      <c r="F24" s="30">
        <f t="shared" si="7"/>
        <v>4435</v>
      </c>
      <c r="G24" s="30">
        <f t="shared" si="8"/>
        <v>0</v>
      </c>
      <c r="H24" s="30">
        <f t="shared" si="9"/>
        <v>0</v>
      </c>
      <c r="I24" s="30">
        <f t="shared" si="9"/>
        <v>0</v>
      </c>
      <c r="J24" s="30">
        <f t="shared" si="10"/>
        <v>22756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18689</v>
      </c>
      <c r="O24" s="30">
        <f t="shared" si="14"/>
        <v>0</v>
      </c>
      <c r="P24" s="30">
        <f t="shared" si="15"/>
        <v>0</v>
      </c>
      <c r="Q24" s="30">
        <f t="shared" si="16"/>
        <v>0</v>
      </c>
      <c r="R24" s="30">
        <f t="shared" si="17"/>
        <v>495</v>
      </c>
      <c r="S24" s="30">
        <f t="shared" si="18"/>
        <v>0</v>
      </c>
      <c r="T24" s="30">
        <f t="shared" si="19"/>
        <v>0</v>
      </c>
      <c r="U24" s="30">
        <f t="shared" si="20"/>
        <v>0</v>
      </c>
      <c r="V24" s="30">
        <f t="shared" si="21"/>
        <v>3969</v>
      </c>
      <c r="W24" s="30">
        <f t="shared" si="22"/>
        <v>0</v>
      </c>
      <c r="X24" s="30">
        <f t="shared" si="23"/>
        <v>0</v>
      </c>
      <c r="Y24" s="30">
        <f t="shared" si="24"/>
        <v>0</v>
      </c>
    </row>
    <row r="25" spans="1:25" x14ac:dyDescent="0.2">
      <c r="A25" s="29" t="s">
        <v>35</v>
      </c>
      <c r="B25" s="31">
        <f t="shared" si="4"/>
        <v>2660</v>
      </c>
      <c r="C25" s="31">
        <f t="shared" si="5"/>
        <v>0</v>
      </c>
      <c r="D25" s="31">
        <f t="shared" si="6"/>
        <v>0</v>
      </c>
      <c r="E25" s="31">
        <f t="shared" si="6"/>
        <v>0</v>
      </c>
      <c r="F25" s="31">
        <f t="shared" si="7"/>
        <v>4959</v>
      </c>
      <c r="G25" s="31">
        <f t="shared" si="8"/>
        <v>0</v>
      </c>
      <c r="H25" s="31">
        <f t="shared" si="9"/>
        <v>0</v>
      </c>
      <c r="I25" s="31">
        <f t="shared" si="9"/>
        <v>0</v>
      </c>
      <c r="J25" s="31">
        <f t="shared" si="10"/>
        <v>28254</v>
      </c>
      <c r="K25" s="31">
        <f t="shared" si="11"/>
        <v>0</v>
      </c>
      <c r="L25" s="31">
        <f t="shared" si="12"/>
        <v>0</v>
      </c>
      <c r="M25" s="31">
        <f t="shared" si="12"/>
        <v>0</v>
      </c>
      <c r="N25" s="31">
        <f t="shared" si="13"/>
        <v>21307</v>
      </c>
      <c r="O25" s="31">
        <f t="shared" si="14"/>
        <v>0</v>
      </c>
      <c r="P25" s="31">
        <f t="shared" si="15"/>
        <v>0</v>
      </c>
      <c r="Q25" s="31">
        <f t="shared" si="16"/>
        <v>0</v>
      </c>
      <c r="R25" s="31">
        <f t="shared" si="17"/>
        <v>663</v>
      </c>
      <c r="S25" s="31">
        <f t="shared" si="18"/>
        <v>0</v>
      </c>
      <c r="T25" s="31">
        <f t="shared" si="19"/>
        <v>0</v>
      </c>
      <c r="U25" s="31">
        <f t="shared" si="20"/>
        <v>0</v>
      </c>
      <c r="V25" s="31">
        <f t="shared" si="21"/>
        <v>4375</v>
      </c>
      <c r="W25" s="31">
        <f t="shared" si="22"/>
        <v>0</v>
      </c>
      <c r="X25" s="31">
        <f t="shared" si="23"/>
        <v>0</v>
      </c>
      <c r="Y25" s="31">
        <f t="shared" si="24"/>
        <v>0</v>
      </c>
    </row>
    <row r="26" spans="1:25" x14ac:dyDescent="0.2">
      <c r="A26" s="29" t="s">
        <v>36</v>
      </c>
      <c r="B26" s="31">
        <f t="shared" si="4"/>
        <v>2916</v>
      </c>
      <c r="C26" s="31">
        <f t="shared" si="5"/>
        <v>0</v>
      </c>
      <c r="D26" s="31">
        <f t="shared" si="6"/>
        <v>0</v>
      </c>
      <c r="E26" s="31">
        <f t="shared" si="6"/>
        <v>0</v>
      </c>
      <c r="F26" s="31">
        <f t="shared" si="7"/>
        <v>5484</v>
      </c>
      <c r="G26" s="31">
        <f t="shared" si="8"/>
        <v>0</v>
      </c>
      <c r="H26" s="31">
        <f t="shared" si="9"/>
        <v>0</v>
      </c>
      <c r="I26" s="31">
        <f t="shared" si="9"/>
        <v>0</v>
      </c>
      <c r="J26" s="31">
        <f t="shared" si="10"/>
        <v>33841</v>
      </c>
      <c r="K26" s="31">
        <f t="shared" si="11"/>
        <v>0</v>
      </c>
      <c r="L26" s="31">
        <f t="shared" si="12"/>
        <v>0</v>
      </c>
      <c r="M26" s="31">
        <f t="shared" si="12"/>
        <v>0</v>
      </c>
      <c r="N26" s="31">
        <f t="shared" si="13"/>
        <v>23978</v>
      </c>
      <c r="O26" s="31">
        <f t="shared" si="14"/>
        <v>0</v>
      </c>
      <c r="P26" s="31">
        <f t="shared" si="15"/>
        <v>0</v>
      </c>
      <c r="Q26" s="31">
        <f t="shared" si="16"/>
        <v>0</v>
      </c>
      <c r="R26" s="31">
        <f t="shared" si="17"/>
        <v>831</v>
      </c>
      <c r="S26" s="31">
        <f t="shared" si="18"/>
        <v>0</v>
      </c>
      <c r="T26" s="31">
        <f t="shared" si="19"/>
        <v>0</v>
      </c>
      <c r="U26" s="31">
        <f t="shared" si="20"/>
        <v>0</v>
      </c>
      <c r="V26" s="31">
        <f t="shared" si="21"/>
        <v>4781</v>
      </c>
      <c r="W26" s="31">
        <f t="shared" si="22"/>
        <v>0</v>
      </c>
      <c r="X26" s="31">
        <f t="shared" si="23"/>
        <v>0</v>
      </c>
      <c r="Y26" s="31">
        <f t="shared" si="24"/>
        <v>0</v>
      </c>
    </row>
    <row r="27" spans="1:25" x14ac:dyDescent="0.2">
      <c r="A27" s="12" t="s">
        <v>15</v>
      </c>
      <c r="B27" s="32">
        <f t="shared" si="4"/>
        <v>3200</v>
      </c>
      <c r="C27" s="32">
        <f t="shared" si="5"/>
        <v>0</v>
      </c>
      <c r="D27" s="32">
        <f t="shared" si="6"/>
        <v>0</v>
      </c>
      <c r="E27" s="32">
        <f t="shared" si="6"/>
        <v>0</v>
      </c>
      <c r="F27" s="32">
        <f t="shared" si="7"/>
        <v>6000</v>
      </c>
      <c r="G27" s="32">
        <f t="shared" si="8"/>
        <v>0</v>
      </c>
      <c r="H27" s="32">
        <f t="shared" si="9"/>
        <v>0</v>
      </c>
      <c r="I27" s="32">
        <f t="shared" si="9"/>
        <v>0</v>
      </c>
      <c r="J27" s="32">
        <f t="shared" si="10"/>
        <v>39436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26656</v>
      </c>
      <c r="O27" s="32">
        <f t="shared" si="14"/>
        <v>0</v>
      </c>
      <c r="P27" s="32">
        <f t="shared" si="15"/>
        <v>0</v>
      </c>
      <c r="Q27" s="32">
        <f t="shared" si="16"/>
        <v>0</v>
      </c>
      <c r="R27" s="32">
        <f t="shared" si="17"/>
        <v>1000</v>
      </c>
      <c r="S27" s="32">
        <f t="shared" si="18"/>
        <v>0</v>
      </c>
      <c r="T27" s="32">
        <f t="shared" si="19"/>
        <v>0</v>
      </c>
      <c r="U27" s="32">
        <f t="shared" si="20"/>
        <v>0</v>
      </c>
      <c r="V27" s="32">
        <f t="shared" si="21"/>
        <v>5200</v>
      </c>
      <c r="W27" s="32">
        <f t="shared" si="22"/>
        <v>0</v>
      </c>
      <c r="X27" s="32">
        <f t="shared" si="23"/>
        <v>0</v>
      </c>
      <c r="Y27" s="32">
        <f t="shared" si="24"/>
        <v>0</v>
      </c>
    </row>
    <row r="28" spans="1:25" x14ac:dyDescent="0.2">
      <c r="L28" s="16"/>
    </row>
    <row r="29" spans="1:25" x14ac:dyDescent="0.2">
      <c r="L29" s="16"/>
    </row>
    <row r="30" spans="1:25" x14ac:dyDescent="0.2">
      <c r="L30" s="16"/>
    </row>
  </sheetData>
  <mergeCells count="10">
    <mergeCell ref="B1:D1"/>
    <mergeCell ref="F1:H1"/>
    <mergeCell ref="C2:E2"/>
    <mergeCell ref="G2:I2"/>
    <mergeCell ref="W2:Y2"/>
    <mergeCell ref="N1:P1"/>
    <mergeCell ref="R1:T1"/>
    <mergeCell ref="O2:Q2"/>
    <mergeCell ref="S2:U2"/>
    <mergeCell ref="K2:M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9.5703125" bestFit="1" customWidth="1"/>
    <col min="5" max="5" width="9.5703125" customWidth="1"/>
    <col min="7" max="7" width="11" bestFit="1" customWidth="1"/>
    <col min="8" max="8" width="9" bestFit="1" customWidth="1"/>
    <col min="9" max="9" width="9" customWidth="1"/>
    <col min="10" max="10" width="7.140625" customWidth="1"/>
    <col min="12" max="12" width="9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</row>
    <row r="4" spans="1:27" x14ac:dyDescent="0.2">
      <c r="A4" s="1" t="s">
        <v>4</v>
      </c>
      <c r="B4" s="22">
        <v>230</v>
      </c>
      <c r="C4" s="22"/>
      <c r="D4" s="22"/>
      <c r="E4" s="22"/>
      <c r="F4" s="22">
        <v>80</v>
      </c>
      <c r="G4" s="22"/>
      <c r="H4" s="22"/>
      <c r="I4" s="125"/>
      <c r="J4" s="22">
        <v>184</v>
      </c>
      <c r="K4" s="22"/>
      <c r="L4" s="22"/>
      <c r="M4" s="22"/>
      <c r="N4" s="22">
        <v>102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7" x14ac:dyDescent="0.2">
      <c r="A5" s="1" t="s">
        <v>7</v>
      </c>
      <c r="B5" s="22">
        <v>250</v>
      </c>
      <c r="C5" s="22"/>
      <c r="D5" s="22"/>
      <c r="E5" s="22"/>
      <c r="F5" s="22">
        <v>90</v>
      </c>
      <c r="G5" s="22"/>
      <c r="H5" s="22"/>
      <c r="I5" s="125"/>
      <c r="J5" s="22">
        <v>189</v>
      </c>
      <c r="K5" s="22"/>
      <c r="L5" s="22"/>
      <c r="M5" s="22"/>
      <c r="N5" s="22">
        <v>107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7" x14ac:dyDescent="0.2">
      <c r="A6" s="1" t="s">
        <v>8</v>
      </c>
      <c r="B6" s="22">
        <v>340</v>
      </c>
      <c r="C6" s="22"/>
      <c r="D6" s="22"/>
      <c r="E6" s="22"/>
      <c r="F6" s="22">
        <v>100</v>
      </c>
      <c r="G6" s="22"/>
      <c r="H6" s="22"/>
      <c r="I6" s="125"/>
      <c r="J6" s="22">
        <v>226</v>
      </c>
      <c r="K6" s="22"/>
      <c r="L6" s="22"/>
      <c r="M6" s="22"/>
      <c r="N6" s="22">
        <v>128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7" x14ac:dyDescent="0.2">
      <c r="A7" s="1" t="s">
        <v>16</v>
      </c>
      <c r="B7" s="22">
        <v>330</v>
      </c>
      <c r="C7" s="22"/>
      <c r="D7" s="22"/>
      <c r="E7" s="22"/>
      <c r="F7" s="22">
        <v>100</v>
      </c>
      <c r="G7" s="22"/>
      <c r="H7" s="22"/>
      <c r="I7" s="125"/>
      <c r="J7" s="22">
        <v>221</v>
      </c>
      <c r="K7" s="22"/>
      <c r="L7" s="22"/>
      <c r="M7" s="22"/>
      <c r="N7" s="22">
        <v>128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7" x14ac:dyDescent="0.2">
      <c r="A8" s="1" t="s">
        <v>17</v>
      </c>
      <c r="B8" s="22">
        <v>320</v>
      </c>
      <c r="C8" s="22"/>
      <c r="D8" s="22"/>
      <c r="E8" s="22"/>
      <c r="F8" s="22">
        <v>75</v>
      </c>
      <c r="G8" s="22"/>
      <c r="H8" s="22"/>
      <c r="I8" s="125"/>
      <c r="J8" s="22">
        <v>221</v>
      </c>
      <c r="K8" s="22"/>
      <c r="L8" s="22"/>
      <c r="M8" s="22"/>
      <c r="N8" s="22">
        <v>128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7" x14ac:dyDescent="0.2">
      <c r="A9" s="1" t="s">
        <v>18</v>
      </c>
      <c r="B9" s="22">
        <v>220</v>
      </c>
      <c r="C9" s="22"/>
      <c r="D9" s="22"/>
      <c r="E9" s="22"/>
      <c r="F9" s="22">
        <v>75</v>
      </c>
      <c r="G9" s="22"/>
      <c r="H9" s="22"/>
      <c r="I9" s="125"/>
      <c r="J9" s="22">
        <v>189</v>
      </c>
      <c r="K9" s="22"/>
      <c r="L9" s="22"/>
      <c r="M9" s="22"/>
      <c r="N9" s="22">
        <v>112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7" x14ac:dyDescent="0.2">
      <c r="A10" s="82" t="s">
        <v>19</v>
      </c>
      <c r="B10" s="22">
        <v>220</v>
      </c>
      <c r="C10" s="22"/>
      <c r="D10" s="22"/>
      <c r="E10" s="22"/>
      <c r="F10" s="22">
        <v>60</v>
      </c>
      <c r="G10" s="22"/>
      <c r="H10" s="22"/>
      <c r="I10" s="125"/>
      <c r="J10" s="22">
        <v>141</v>
      </c>
      <c r="K10" s="22"/>
      <c r="L10" s="22"/>
      <c r="M10" s="22"/>
      <c r="N10" s="22">
        <v>107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7" x14ac:dyDescent="0.2">
      <c r="A11" s="1" t="s">
        <v>10</v>
      </c>
      <c r="B11" s="22">
        <v>220</v>
      </c>
      <c r="C11" s="22"/>
      <c r="D11" s="22"/>
      <c r="E11" s="22"/>
      <c r="F11" s="22">
        <v>60</v>
      </c>
      <c r="G11" s="22"/>
      <c r="H11" s="22"/>
      <c r="I11" s="125"/>
      <c r="J11" s="22">
        <v>135</v>
      </c>
      <c r="K11" s="22"/>
      <c r="L11" s="22"/>
      <c r="M11" s="22"/>
      <c r="N11" s="22">
        <v>102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7" x14ac:dyDescent="0.2">
      <c r="A12" s="1" t="s">
        <v>11</v>
      </c>
      <c r="B12" s="22">
        <v>270</v>
      </c>
      <c r="C12" s="22"/>
      <c r="D12" s="22"/>
      <c r="E12" s="22"/>
      <c r="F12" s="22">
        <v>90</v>
      </c>
      <c r="G12" s="22"/>
      <c r="H12" s="22"/>
      <c r="I12" s="125"/>
      <c r="J12" s="22">
        <v>161</v>
      </c>
      <c r="K12" s="22"/>
      <c r="L12" s="22"/>
      <c r="M12" s="22"/>
      <c r="N12" s="22">
        <v>119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7" x14ac:dyDescent="0.2">
      <c r="A13" s="1" t="s">
        <v>12</v>
      </c>
      <c r="B13" s="22">
        <v>340</v>
      </c>
      <c r="C13" s="22"/>
      <c r="D13" s="22"/>
      <c r="E13" s="22"/>
      <c r="F13" s="22">
        <v>96</v>
      </c>
      <c r="G13" s="22"/>
      <c r="H13" s="22"/>
      <c r="I13" s="125"/>
      <c r="J13" s="22">
        <v>162</v>
      </c>
      <c r="K13" s="22"/>
      <c r="L13" s="22"/>
      <c r="M13" s="22"/>
      <c r="N13" s="22">
        <v>124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7" x14ac:dyDescent="0.2">
      <c r="A14" s="1" t="s">
        <v>13</v>
      </c>
      <c r="B14" s="22">
        <v>333</v>
      </c>
      <c r="C14" s="22"/>
      <c r="D14" s="22"/>
      <c r="E14" s="22"/>
      <c r="F14" s="22">
        <v>110</v>
      </c>
      <c r="G14" s="22"/>
      <c r="H14" s="22"/>
      <c r="I14" s="125"/>
      <c r="J14" s="22">
        <v>157</v>
      </c>
      <c r="K14" s="22"/>
      <c r="L14" s="22"/>
      <c r="M14" s="22"/>
      <c r="N14" s="22">
        <v>124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7" x14ac:dyDescent="0.2">
      <c r="A15" s="1" t="s">
        <v>14</v>
      </c>
      <c r="B15" s="22">
        <v>300</v>
      </c>
      <c r="C15" s="22"/>
      <c r="D15" s="22"/>
      <c r="E15" s="22"/>
      <c r="F15" s="22">
        <v>90</v>
      </c>
      <c r="G15" s="22"/>
      <c r="H15" s="22"/>
      <c r="I15" s="125"/>
      <c r="J15" s="22">
        <v>155</v>
      </c>
      <c r="K15" s="22"/>
      <c r="L15" s="22"/>
      <c r="M15" s="22"/>
      <c r="N15" s="22">
        <v>119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7" x14ac:dyDescent="0.2">
      <c r="A16" s="1" t="s">
        <v>6</v>
      </c>
      <c r="B16" s="22">
        <f>SUM(B4:B15)</f>
        <v>3373</v>
      </c>
      <c r="C16" s="22">
        <f t="shared" ref="C16:Y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1026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2141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1400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0</v>
      </c>
      <c r="X16" s="22">
        <f t="shared" si="0"/>
        <v>0</v>
      </c>
      <c r="Y16" s="22">
        <f t="shared" si="0"/>
        <v>0</v>
      </c>
    </row>
    <row r="17" spans="1:25" x14ac:dyDescent="0.2">
      <c r="A17" s="28" t="s">
        <v>28</v>
      </c>
      <c r="B17" s="30">
        <f>B4+B5</f>
        <v>480</v>
      </c>
      <c r="C17" s="30">
        <f t="shared" ref="C17:Y17" si="1">C4+C5</f>
        <v>0</v>
      </c>
      <c r="D17" s="30">
        <f t="shared" si="1"/>
        <v>0</v>
      </c>
      <c r="E17" s="30">
        <f>E4+E5</f>
        <v>0</v>
      </c>
      <c r="F17" s="30">
        <f t="shared" si="1"/>
        <v>170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373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209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</row>
    <row r="18" spans="1:25" x14ac:dyDescent="0.2">
      <c r="A18" s="28"/>
      <c r="B18" s="30">
        <f t="shared" ref="B18:Y27" si="2">B17+B6</f>
        <v>820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270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599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337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</row>
    <row r="19" spans="1:25" x14ac:dyDescent="0.2">
      <c r="A19" s="28" t="s">
        <v>29</v>
      </c>
      <c r="B19" s="30">
        <f t="shared" si="2"/>
        <v>1150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370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820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465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</row>
    <row r="20" spans="1:25" x14ac:dyDescent="0.2">
      <c r="A20" s="28" t="s">
        <v>30</v>
      </c>
      <c r="B20" s="30">
        <f t="shared" si="2"/>
        <v>1470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445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1041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593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</row>
    <row r="21" spans="1:25" x14ac:dyDescent="0.2">
      <c r="A21" s="28" t="s">
        <v>31</v>
      </c>
      <c r="B21" s="30">
        <f t="shared" si="2"/>
        <v>1690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520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1230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705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0</v>
      </c>
      <c r="W21" s="30">
        <f t="shared" si="2"/>
        <v>0</v>
      </c>
      <c r="X21" s="30">
        <f t="shared" si="2"/>
        <v>0</v>
      </c>
      <c r="Y21" s="30">
        <f t="shared" si="2"/>
        <v>0</v>
      </c>
    </row>
    <row r="22" spans="1:25" x14ac:dyDescent="0.2">
      <c r="A22" s="28" t="s">
        <v>32</v>
      </c>
      <c r="B22" s="30">
        <f t="shared" si="2"/>
        <v>1910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580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1371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812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0</v>
      </c>
      <c r="W22" s="30">
        <f t="shared" si="2"/>
        <v>0</v>
      </c>
      <c r="X22" s="30">
        <f t="shared" si="2"/>
        <v>0</v>
      </c>
      <c r="Y22" s="30">
        <f t="shared" si="2"/>
        <v>0</v>
      </c>
    </row>
    <row r="23" spans="1:25" x14ac:dyDescent="0.2">
      <c r="A23" s="28" t="s">
        <v>33</v>
      </c>
      <c r="B23" s="30">
        <f t="shared" si="2"/>
        <v>2130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640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1506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914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0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0</v>
      </c>
      <c r="W23" s="30">
        <f t="shared" si="2"/>
        <v>0</v>
      </c>
      <c r="X23" s="30">
        <f t="shared" si="2"/>
        <v>0</v>
      </c>
      <c r="Y23" s="30">
        <f t="shared" si="2"/>
        <v>0</v>
      </c>
    </row>
    <row r="24" spans="1:25" x14ac:dyDescent="0.2">
      <c r="A24" s="28" t="s">
        <v>34</v>
      </c>
      <c r="B24" s="30">
        <f t="shared" si="2"/>
        <v>2400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730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1667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1033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0</v>
      </c>
      <c r="W24" s="30">
        <f t="shared" si="2"/>
        <v>0</v>
      </c>
      <c r="X24" s="30">
        <f t="shared" si="2"/>
        <v>0</v>
      </c>
      <c r="Y24" s="30">
        <f t="shared" si="2"/>
        <v>0</v>
      </c>
    </row>
    <row r="25" spans="1:25" x14ac:dyDescent="0.2">
      <c r="A25" s="29" t="s">
        <v>35</v>
      </c>
      <c r="B25" s="30">
        <f t="shared" si="2"/>
        <v>2740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826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1829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1157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0</v>
      </c>
      <c r="W25" s="30">
        <f t="shared" si="2"/>
        <v>0</v>
      </c>
      <c r="X25" s="30">
        <f t="shared" si="2"/>
        <v>0</v>
      </c>
      <c r="Y25" s="30">
        <f t="shared" si="2"/>
        <v>0</v>
      </c>
    </row>
    <row r="26" spans="1:25" x14ac:dyDescent="0.2">
      <c r="A26" s="29" t="s">
        <v>36</v>
      </c>
      <c r="B26" s="30">
        <f t="shared" si="2"/>
        <v>3073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936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1986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1281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0</v>
      </c>
      <c r="W26" s="30">
        <f t="shared" si="2"/>
        <v>0</v>
      </c>
      <c r="X26" s="30">
        <f t="shared" si="2"/>
        <v>0</v>
      </c>
      <c r="Y26" s="30">
        <f t="shared" si="2"/>
        <v>0</v>
      </c>
    </row>
    <row r="27" spans="1:25" x14ac:dyDescent="0.2">
      <c r="A27" s="12" t="s">
        <v>15</v>
      </c>
      <c r="B27" s="32">
        <f t="shared" si="2"/>
        <v>3373</v>
      </c>
      <c r="C27" s="32">
        <f t="shared" si="2"/>
        <v>0</v>
      </c>
      <c r="D27" s="32">
        <f t="shared" si="2"/>
        <v>0</v>
      </c>
      <c r="E27" s="32">
        <f t="shared" ref="E27:Y27" si="3">E26+E15</f>
        <v>0</v>
      </c>
      <c r="F27" s="32">
        <f t="shared" si="3"/>
        <v>1026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2141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1400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0</v>
      </c>
      <c r="W27" s="32">
        <f t="shared" si="3"/>
        <v>0</v>
      </c>
      <c r="X27" s="32">
        <f t="shared" si="3"/>
        <v>0</v>
      </c>
      <c r="Y27" s="32">
        <f t="shared" si="3"/>
        <v>0</v>
      </c>
    </row>
    <row r="28" spans="1:25" x14ac:dyDescent="0.2">
      <c r="C28" s="16"/>
      <c r="D28" s="16"/>
      <c r="E28" s="16"/>
    </row>
    <row r="29" spans="1:25" x14ac:dyDescent="0.2">
      <c r="C29" s="16"/>
      <c r="D29" s="16"/>
      <c r="E29" s="16"/>
    </row>
    <row r="30" spans="1:25" x14ac:dyDescent="0.2">
      <c r="C30" s="16"/>
      <c r="D30" s="16"/>
      <c r="E30" s="16"/>
    </row>
  </sheetData>
  <mergeCells count="8">
    <mergeCell ref="O2:Q2"/>
    <mergeCell ref="S2:U2"/>
    <mergeCell ref="W2:Y2"/>
    <mergeCell ref="K2:M2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87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I1" workbookViewId="0">
      <selection activeCell="J18" sqref="J18"/>
    </sheetView>
  </sheetViews>
  <sheetFormatPr defaultRowHeight="12.75" x14ac:dyDescent="0.2"/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/>
      <c r="C4" s="22"/>
      <c r="D4" s="22"/>
      <c r="E4" s="22"/>
      <c r="F4" s="22"/>
      <c r="G4" s="22"/>
      <c r="H4" s="22"/>
      <c r="I4" s="1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/>
      <c r="C5" s="22"/>
      <c r="D5" s="22"/>
      <c r="E5" s="22"/>
      <c r="F5" s="22"/>
      <c r="G5" s="22"/>
      <c r="H5" s="22"/>
      <c r="I5" s="1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/>
      <c r="C6" s="22"/>
      <c r="D6" s="22"/>
      <c r="E6" s="22"/>
      <c r="F6" s="22"/>
      <c r="G6" s="22"/>
      <c r="H6" s="22"/>
      <c r="I6" s="12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/>
      <c r="C7" s="22"/>
      <c r="D7" s="22"/>
      <c r="E7" s="22"/>
      <c r="F7" s="22"/>
      <c r="G7" s="22"/>
      <c r="H7" s="22"/>
      <c r="I7" s="12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>
        <f>AA7</f>
        <v>311</v>
      </c>
      <c r="AA7" s="22">
        <v>311</v>
      </c>
      <c r="AB7" s="22"/>
      <c r="AC7" s="22"/>
    </row>
    <row r="8" spans="1:29" x14ac:dyDescent="0.2">
      <c r="A8" s="1" t="s">
        <v>17</v>
      </c>
      <c r="B8" s="22"/>
      <c r="C8" s="22"/>
      <c r="D8" s="22"/>
      <c r="E8" s="22"/>
      <c r="F8" s="22"/>
      <c r="G8" s="22"/>
      <c r="H8" s="22"/>
      <c r="I8" s="12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f>AA8</f>
        <v>356</v>
      </c>
      <c r="AA8" s="22">
        <v>356</v>
      </c>
      <c r="AB8" s="22"/>
      <c r="AC8" s="22"/>
    </row>
    <row r="9" spans="1:29" x14ac:dyDescent="0.2">
      <c r="A9" s="1" t="s">
        <v>18</v>
      </c>
      <c r="B9" s="22"/>
      <c r="C9" s="22"/>
      <c r="D9" s="22"/>
      <c r="E9" s="22"/>
      <c r="F9" s="22"/>
      <c r="G9" s="22"/>
      <c r="H9" s="22"/>
      <c r="I9" s="125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>
        <f>AA9</f>
        <v>357</v>
      </c>
      <c r="AA9" s="22">
        <v>357</v>
      </c>
      <c r="AB9" s="22"/>
      <c r="AC9" s="22"/>
    </row>
    <row r="10" spans="1:29" x14ac:dyDescent="0.2">
      <c r="A10" s="82" t="s">
        <v>19</v>
      </c>
      <c r="B10" s="22">
        <v>667</v>
      </c>
      <c r="C10" s="22"/>
      <c r="D10" s="22"/>
      <c r="E10" s="22"/>
      <c r="F10" s="22"/>
      <c r="G10" s="22"/>
      <c r="H10" s="22"/>
      <c r="I10" s="125"/>
      <c r="J10" s="22"/>
      <c r="K10" s="22">
        <f>500+333</f>
        <v>833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f>1266+AA10</f>
        <v>1622</v>
      </c>
      <c r="AA10" s="22">
        <v>356</v>
      </c>
      <c r="AB10" s="22"/>
      <c r="AC10" s="22"/>
    </row>
    <row r="11" spans="1:29" x14ac:dyDescent="0.2">
      <c r="A11" s="1" t="s">
        <v>10</v>
      </c>
      <c r="B11" s="22">
        <v>666</v>
      </c>
      <c r="C11" s="22"/>
      <c r="D11" s="22"/>
      <c r="E11" s="22"/>
      <c r="F11" s="22"/>
      <c r="G11" s="22"/>
      <c r="H11" s="22"/>
      <c r="I11" s="125"/>
      <c r="J11" s="22"/>
      <c r="K11" s="22">
        <f>500+334</f>
        <v>834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>
        <f>1267+AA11</f>
        <v>1624</v>
      </c>
      <c r="AA11" s="22">
        <v>357</v>
      </c>
      <c r="AB11" s="22"/>
      <c r="AC11" s="22"/>
    </row>
    <row r="12" spans="1:29" x14ac:dyDescent="0.2">
      <c r="A12" s="1" t="s">
        <v>11</v>
      </c>
      <c r="B12" s="22">
        <v>667</v>
      </c>
      <c r="C12" s="22"/>
      <c r="D12" s="22"/>
      <c r="E12" s="22"/>
      <c r="F12" s="22"/>
      <c r="G12" s="22"/>
      <c r="H12" s="22"/>
      <c r="I12" s="125"/>
      <c r="J12" s="22"/>
      <c r="K12" s="22">
        <f>500+333</f>
        <v>833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>
        <f>1267+AA12</f>
        <v>1623</v>
      </c>
      <c r="AA12" s="22">
        <v>356</v>
      </c>
      <c r="AB12" s="22"/>
      <c r="AC12" s="22"/>
    </row>
    <row r="13" spans="1:29" x14ac:dyDescent="0.2">
      <c r="A13" s="1" t="s">
        <v>12</v>
      </c>
      <c r="B13" s="22">
        <v>666</v>
      </c>
      <c r="C13" s="22"/>
      <c r="D13" s="22"/>
      <c r="E13" s="22"/>
      <c r="F13" s="22"/>
      <c r="G13" s="22"/>
      <c r="H13" s="22"/>
      <c r="I13" s="125"/>
      <c r="J13" s="22"/>
      <c r="K13" s="22">
        <f>500+334</f>
        <v>834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>
        <f>1267+AA13</f>
        <v>1624</v>
      </c>
      <c r="AA13" s="22">
        <v>357</v>
      </c>
      <c r="AB13" s="22"/>
      <c r="AC13" s="22"/>
    </row>
    <row r="14" spans="1:29" x14ac:dyDescent="0.2">
      <c r="A14" s="1" t="s">
        <v>13</v>
      </c>
      <c r="B14" s="22">
        <v>667</v>
      </c>
      <c r="C14" s="22"/>
      <c r="D14" s="22"/>
      <c r="E14" s="22"/>
      <c r="F14" s="22"/>
      <c r="G14" s="22"/>
      <c r="H14" s="22"/>
      <c r="I14" s="125"/>
      <c r="J14" s="22"/>
      <c r="K14" s="22">
        <f>500+333</f>
        <v>833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>
        <f>1266+AA14</f>
        <v>1622</v>
      </c>
      <c r="AA14" s="22">
        <v>356</v>
      </c>
      <c r="AB14" s="22"/>
      <c r="AC14" s="22"/>
    </row>
    <row r="15" spans="1:29" x14ac:dyDescent="0.2">
      <c r="A15" s="1" t="s">
        <v>14</v>
      </c>
      <c r="B15" s="22">
        <v>667</v>
      </c>
      <c r="C15" s="22"/>
      <c r="D15" s="22"/>
      <c r="E15" s="22"/>
      <c r="F15" s="22"/>
      <c r="G15" s="22"/>
      <c r="H15" s="22"/>
      <c r="I15" s="125"/>
      <c r="J15" s="22"/>
      <c r="K15" s="22">
        <f>500+333</f>
        <v>833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>
        <f>1267+AA15</f>
        <v>1623</v>
      </c>
      <c r="AA15" s="22">
        <v>356</v>
      </c>
      <c r="AB15" s="22"/>
      <c r="AC15" s="22"/>
    </row>
    <row r="16" spans="1:29" x14ac:dyDescent="0.2">
      <c r="A16" s="1" t="s">
        <v>6</v>
      </c>
      <c r="B16" s="22">
        <f>SUM(B4:B15)</f>
        <v>4000</v>
      </c>
      <c r="C16" s="22">
        <f t="shared" ref="C16:Z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5000</v>
      </c>
      <c r="L16" s="22">
        <f t="shared" si="0"/>
        <v>0</v>
      </c>
      <c r="M16" s="22">
        <f t="shared" si="0"/>
        <v>0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10762</v>
      </c>
      <c r="AA16" s="22">
        <f>SUM(AA4:AA15)</f>
        <v>3162</v>
      </c>
      <c r="AB16" s="22">
        <f>SUM(AB4:AB15)</f>
        <v>0</v>
      </c>
      <c r="AC16" s="22">
        <f>SUM(AC4:AC15)</f>
        <v>0</v>
      </c>
    </row>
    <row r="17" spans="1:29" x14ac:dyDescent="0.2">
      <c r="A17" s="28" t="s">
        <v>28</v>
      </c>
      <c r="B17" s="30">
        <f>B4+B5</f>
        <v>0</v>
      </c>
      <c r="C17" s="30">
        <f t="shared" ref="C17:Y17" si="1">C4+C5</f>
        <v>0</v>
      </c>
      <c r="D17" s="30">
        <f t="shared" si="1"/>
        <v>0</v>
      </c>
      <c r="E17" s="30">
        <f>E4+E5</f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0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>Z4+Z5</f>
        <v>0</v>
      </c>
      <c r="AA17" s="30">
        <f>AA4+AA5</f>
        <v>0</v>
      </c>
      <c r="AB17" s="30">
        <f>AB4+AB5</f>
        <v>0</v>
      </c>
      <c r="AC17" s="30">
        <f>AC4+AC5</f>
        <v>0</v>
      </c>
    </row>
    <row r="18" spans="1:29" x14ac:dyDescent="0.2">
      <c r="A18" s="28"/>
      <c r="B18" s="30">
        <f t="shared" ref="B18:Y27" si="2">B17+B6</f>
        <v>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ref="Z18:Z27" si="3">Z17+Z6</f>
        <v>0</v>
      </c>
      <c r="AA18" s="30">
        <f t="shared" ref="AA18:AA27" si="4">AA17+AA6</f>
        <v>0</v>
      </c>
      <c r="AB18" s="30">
        <f t="shared" ref="AB18:AB27" si="5">AB17+AB6</f>
        <v>0</v>
      </c>
      <c r="AC18" s="30">
        <f t="shared" ref="AC18:AC27" si="6">AC17+AC6</f>
        <v>0</v>
      </c>
    </row>
    <row r="19" spans="1:29" x14ac:dyDescent="0.2">
      <c r="A19" s="28" t="s">
        <v>29</v>
      </c>
      <c r="B19" s="30">
        <f t="shared" si="2"/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3"/>
        <v>311</v>
      </c>
      <c r="AA19" s="30">
        <f t="shared" si="4"/>
        <v>311</v>
      </c>
      <c r="AB19" s="30">
        <f t="shared" si="5"/>
        <v>0</v>
      </c>
      <c r="AC19" s="30">
        <f t="shared" si="6"/>
        <v>0</v>
      </c>
    </row>
    <row r="20" spans="1:29" x14ac:dyDescent="0.2">
      <c r="A20" s="28" t="s">
        <v>30</v>
      </c>
      <c r="B20" s="30">
        <f t="shared" si="2"/>
        <v>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3"/>
        <v>667</v>
      </c>
      <c r="AA20" s="30">
        <f t="shared" si="4"/>
        <v>667</v>
      </c>
      <c r="AB20" s="30">
        <f t="shared" si="5"/>
        <v>0</v>
      </c>
      <c r="AC20" s="30">
        <f t="shared" si="6"/>
        <v>0</v>
      </c>
    </row>
    <row r="21" spans="1:29" x14ac:dyDescent="0.2">
      <c r="A21" s="28" t="s">
        <v>31</v>
      </c>
      <c r="B21" s="30">
        <f t="shared" si="2"/>
        <v>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3"/>
        <v>1024</v>
      </c>
      <c r="AA21" s="30">
        <f t="shared" si="4"/>
        <v>1024</v>
      </c>
      <c r="AB21" s="30">
        <f t="shared" si="5"/>
        <v>0</v>
      </c>
      <c r="AC21" s="30">
        <f t="shared" si="6"/>
        <v>0</v>
      </c>
    </row>
    <row r="22" spans="1:29" x14ac:dyDescent="0.2">
      <c r="A22" s="28" t="s">
        <v>32</v>
      </c>
      <c r="B22" s="30">
        <f t="shared" si="2"/>
        <v>667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833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0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3"/>
        <v>2646</v>
      </c>
      <c r="AA22" s="30">
        <f t="shared" si="4"/>
        <v>1380</v>
      </c>
      <c r="AB22" s="30">
        <f t="shared" si="5"/>
        <v>0</v>
      </c>
      <c r="AC22" s="30">
        <f t="shared" si="6"/>
        <v>0</v>
      </c>
    </row>
    <row r="23" spans="1:29" x14ac:dyDescent="0.2">
      <c r="A23" s="28" t="s">
        <v>33</v>
      </c>
      <c r="B23" s="30">
        <f t="shared" si="2"/>
        <v>1333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1667</v>
      </c>
      <c r="L23" s="30">
        <f t="shared" si="2"/>
        <v>0</v>
      </c>
      <c r="M23" s="30">
        <f t="shared" si="2"/>
        <v>0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0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3"/>
        <v>4270</v>
      </c>
      <c r="AA23" s="30">
        <f t="shared" si="4"/>
        <v>1737</v>
      </c>
      <c r="AB23" s="30">
        <f t="shared" si="5"/>
        <v>0</v>
      </c>
      <c r="AC23" s="30">
        <f t="shared" si="6"/>
        <v>0</v>
      </c>
    </row>
    <row r="24" spans="1:29" x14ac:dyDescent="0.2">
      <c r="A24" s="28" t="s">
        <v>34</v>
      </c>
      <c r="B24" s="30">
        <f t="shared" si="2"/>
        <v>2000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0</v>
      </c>
      <c r="K24" s="30">
        <f t="shared" si="2"/>
        <v>2500</v>
      </c>
      <c r="L24" s="30">
        <f t="shared" si="2"/>
        <v>0</v>
      </c>
      <c r="M24" s="30">
        <f t="shared" si="2"/>
        <v>0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3"/>
        <v>5893</v>
      </c>
      <c r="AA24" s="30">
        <f t="shared" si="4"/>
        <v>2093</v>
      </c>
      <c r="AB24" s="30">
        <f t="shared" si="5"/>
        <v>0</v>
      </c>
      <c r="AC24" s="30">
        <f t="shared" si="6"/>
        <v>0</v>
      </c>
    </row>
    <row r="25" spans="1:29" x14ac:dyDescent="0.2">
      <c r="A25" s="29" t="s">
        <v>35</v>
      </c>
      <c r="B25" s="30">
        <f t="shared" si="2"/>
        <v>2666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0</v>
      </c>
      <c r="K25" s="30">
        <f t="shared" si="2"/>
        <v>3334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0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3"/>
        <v>7517</v>
      </c>
      <c r="AA25" s="30">
        <f t="shared" si="4"/>
        <v>2450</v>
      </c>
      <c r="AB25" s="30">
        <f t="shared" si="5"/>
        <v>0</v>
      </c>
      <c r="AC25" s="30">
        <f t="shared" si="6"/>
        <v>0</v>
      </c>
    </row>
    <row r="26" spans="1:29" x14ac:dyDescent="0.2">
      <c r="A26" s="29" t="s">
        <v>36</v>
      </c>
      <c r="B26" s="30">
        <f t="shared" si="2"/>
        <v>3333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0</v>
      </c>
      <c r="K26" s="30">
        <f t="shared" si="2"/>
        <v>4167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3"/>
        <v>9139</v>
      </c>
      <c r="AA26" s="30">
        <f t="shared" si="4"/>
        <v>2806</v>
      </c>
      <c r="AB26" s="30">
        <f t="shared" si="5"/>
        <v>0</v>
      </c>
      <c r="AC26" s="30">
        <f t="shared" si="6"/>
        <v>0</v>
      </c>
    </row>
    <row r="27" spans="1:29" x14ac:dyDescent="0.2">
      <c r="A27" s="12" t="s">
        <v>15</v>
      </c>
      <c r="B27" s="32">
        <f t="shared" si="2"/>
        <v>4000</v>
      </c>
      <c r="C27" s="32">
        <f t="shared" si="2"/>
        <v>0</v>
      </c>
      <c r="D27" s="32">
        <f t="shared" si="2"/>
        <v>0</v>
      </c>
      <c r="E27" s="32">
        <f t="shared" si="2"/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  <c r="I27" s="32">
        <f t="shared" si="2"/>
        <v>0</v>
      </c>
      <c r="J27" s="32">
        <f t="shared" si="2"/>
        <v>0</v>
      </c>
      <c r="K27" s="32">
        <f t="shared" si="2"/>
        <v>5000</v>
      </c>
      <c r="L27" s="32">
        <f t="shared" si="2"/>
        <v>0</v>
      </c>
      <c r="M27" s="32">
        <f t="shared" si="2"/>
        <v>0</v>
      </c>
      <c r="N27" s="32">
        <f t="shared" si="2"/>
        <v>0</v>
      </c>
      <c r="O27" s="32">
        <f t="shared" si="2"/>
        <v>0</v>
      </c>
      <c r="P27" s="32">
        <f t="shared" si="2"/>
        <v>0</v>
      </c>
      <c r="Q27" s="32">
        <f t="shared" si="2"/>
        <v>0</v>
      </c>
      <c r="R27" s="32">
        <f t="shared" si="2"/>
        <v>0</v>
      </c>
      <c r="S27" s="32">
        <f t="shared" si="2"/>
        <v>0</v>
      </c>
      <c r="T27" s="32">
        <f t="shared" si="2"/>
        <v>0</v>
      </c>
      <c r="U27" s="32">
        <f t="shared" si="2"/>
        <v>0</v>
      </c>
      <c r="V27" s="32">
        <f t="shared" si="2"/>
        <v>0</v>
      </c>
      <c r="W27" s="32">
        <f t="shared" si="2"/>
        <v>0</v>
      </c>
      <c r="X27" s="32">
        <f t="shared" si="2"/>
        <v>0</v>
      </c>
      <c r="Y27" s="32">
        <f t="shared" si="2"/>
        <v>0</v>
      </c>
      <c r="Z27" s="32">
        <f t="shared" si="3"/>
        <v>10762</v>
      </c>
      <c r="AA27" s="32">
        <f t="shared" si="4"/>
        <v>3162</v>
      </c>
      <c r="AB27" s="32">
        <f t="shared" si="5"/>
        <v>0</v>
      </c>
      <c r="AC27" s="32">
        <f t="shared" si="6"/>
        <v>0</v>
      </c>
    </row>
  </sheetData>
  <mergeCells count="9">
    <mergeCell ref="AA2:AC2"/>
    <mergeCell ref="K2:M2"/>
    <mergeCell ref="O2:Q2"/>
    <mergeCell ref="S2:U2"/>
    <mergeCell ref="W2:Y2"/>
    <mergeCell ref="B1:D1"/>
    <mergeCell ref="F1:H1"/>
    <mergeCell ref="C2:E2"/>
    <mergeCell ref="G2:I2"/>
  </mergeCells>
  <phoneticPr fontId="34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J1" workbookViewId="0">
      <selection activeCell="J18" sqref="J18"/>
    </sheetView>
  </sheetViews>
  <sheetFormatPr defaultRowHeight="12.75" x14ac:dyDescent="0.2"/>
  <cols>
    <col min="1" max="1" width="12.28515625" customWidth="1"/>
    <col min="7" max="7" width="11" customWidth="1"/>
    <col min="8" max="9" width="9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359" t="s">
        <v>22</v>
      </c>
      <c r="K1" s="358"/>
      <c r="L1" s="358"/>
      <c r="M1" s="362"/>
      <c r="N1" s="359" t="s">
        <v>185</v>
      </c>
      <c r="O1" s="358"/>
      <c r="P1" s="358"/>
      <c r="Q1" s="362"/>
      <c r="R1" s="359" t="s">
        <v>193</v>
      </c>
      <c r="S1" s="358"/>
      <c r="T1" s="358"/>
      <c r="U1" s="362"/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7" t="s">
        <v>6</v>
      </c>
      <c r="K2" s="366" t="s">
        <v>25</v>
      </c>
      <c r="L2" s="371"/>
      <c r="N2" s="7" t="s">
        <v>6</v>
      </c>
      <c r="O2" s="366" t="s">
        <v>25</v>
      </c>
      <c r="P2" s="371"/>
      <c r="R2" s="7" t="s">
        <v>6</v>
      </c>
      <c r="S2" s="366" t="s">
        <v>25</v>
      </c>
      <c r="T2" s="371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17" t="s">
        <v>27</v>
      </c>
      <c r="L3" s="15" t="s">
        <v>26</v>
      </c>
      <c r="M3" s="15" t="s">
        <v>131</v>
      </c>
      <c r="N3" s="7"/>
      <c r="O3" s="17" t="s">
        <v>27</v>
      </c>
      <c r="P3" s="15" t="s">
        <v>26</v>
      </c>
      <c r="Q3" s="15" t="s">
        <v>131</v>
      </c>
      <c r="R3" s="7"/>
      <c r="S3" s="17" t="s">
        <v>27</v>
      </c>
      <c r="T3" s="15" t="s">
        <v>26</v>
      </c>
      <c r="U3" s="15" t="s">
        <v>131</v>
      </c>
    </row>
    <row r="4" spans="1:27" x14ac:dyDescent="0.2">
      <c r="A4" s="1" t="s">
        <v>4</v>
      </c>
      <c r="B4" s="22">
        <v>110</v>
      </c>
      <c r="C4" s="22"/>
      <c r="D4" s="22"/>
      <c r="E4" s="22"/>
      <c r="F4" s="22">
        <f t="shared" ref="F4:F15" si="0">G4+H4</f>
        <v>0</v>
      </c>
      <c r="G4" s="22"/>
      <c r="H4" s="22"/>
      <c r="I4" s="22"/>
      <c r="J4" s="22">
        <v>141</v>
      </c>
      <c r="K4" s="22"/>
      <c r="L4" s="22"/>
      <c r="M4" s="22">
        <v>0</v>
      </c>
      <c r="N4" s="22">
        <v>83</v>
      </c>
      <c r="O4" s="22"/>
      <c r="P4" s="22"/>
      <c r="Q4" s="22">
        <v>0</v>
      </c>
      <c r="R4" s="22">
        <v>5</v>
      </c>
      <c r="S4" s="22"/>
      <c r="T4" s="22"/>
      <c r="U4" s="22">
        <v>0</v>
      </c>
    </row>
    <row r="5" spans="1:27" x14ac:dyDescent="0.2">
      <c r="A5" s="1" t="s">
        <v>7</v>
      </c>
      <c r="B5" s="22">
        <v>110</v>
      </c>
      <c r="C5" s="22"/>
      <c r="D5" s="22"/>
      <c r="E5" s="22"/>
      <c r="F5" s="22">
        <f t="shared" si="0"/>
        <v>0</v>
      </c>
      <c r="G5" s="22"/>
      <c r="H5" s="22"/>
      <c r="I5" s="22"/>
      <c r="J5" s="22">
        <v>141</v>
      </c>
      <c r="K5" s="22"/>
      <c r="L5" s="22"/>
      <c r="M5" s="22"/>
      <c r="N5" s="22">
        <v>83</v>
      </c>
      <c r="O5" s="22"/>
      <c r="P5" s="22"/>
      <c r="Q5" s="22"/>
      <c r="R5" s="22">
        <v>5</v>
      </c>
      <c r="S5" s="22"/>
      <c r="T5" s="22"/>
      <c r="U5" s="22"/>
    </row>
    <row r="6" spans="1:27" x14ac:dyDescent="0.2">
      <c r="A6" s="1" t="s">
        <v>8</v>
      </c>
      <c r="B6" s="22">
        <v>110</v>
      </c>
      <c r="C6" s="22"/>
      <c r="D6" s="22"/>
      <c r="E6" s="22"/>
      <c r="F6" s="22">
        <f t="shared" si="0"/>
        <v>0</v>
      </c>
      <c r="G6" s="22"/>
      <c r="H6" s="22"/>
      <c r="I6" s="22"/>
      <c r="J6" s="22">
        <v>141</v>
      </c>
      <c r="K6" s="22"/>
      <c r="L6" s="22"/>
      <c r="M6" s="22"/>
      <c r="N6" s="22">
        <v>83</v>
      </c>
      <c r="O6" s="22"/>
      <c r="P6" s="22"/>
      <c r="Q6" s="22"/>
      <c r="R6" s="22">
        <v>5</v>
      </c>
      <c r="S6" s="22"/>
      <c r="T6" s="22"/>
      <c r="U6" s="22"/>
    </row>
    <row r="7" spans="1:27" x14ac:dyDescent="0.2">
      <c r="A7" s="1" t="s">
        <v>16</v>
      </c>
      <c r="B7" s="22">
        <v>110</v>
      </c>
      <c r="C7" s="22"/>
      <c r="D7" s="22"/>
      <c r="E7" s="22"/>
      <c r="F7" s="22">
        <f t="shared" si="0"/>
        <v>0</v>
      </c>
      <c r="G7" s="22"/>
      <c r="H7" s="22"/>
      <c r="I7" s="22"/>
      <c r="J7" s="22">
        <v>141</v>
      </c>
      <c r="K7" s="22"/>
      <c r="L7" s="22"/>
      <c r="M7" s="22"/>
      <c r="N7" s="22">
        <v>83</v>
      </c>
      <c r="O7" s="22"/>
      <c r="P7" s="22"/>
      <c r="Q7" s="22"/>
      <c r="R7" s="22">
        <v>5</v>
      </c>
      <c r="S7" s="22"/>
      <c r="T7" s="22"/>
      <c r="U7" s="22"/>
    </row>
    <row r="8" spans="1:27" x14ac:dyDescent="0.2">
      <c r="A8" s="1" t="s">
        <v>17</v>
      </c>
      <c r="B8" s="22">
        <v>110</v>
      </c>
      <c r="C8" s="22"/>
      <c r="D8" s="22"/>
      <c r="E8" s="22"/>
      <c r="F8" s="22">
        <f t="shared" si="0"/>
        <v>0</v>
      </c>
      <c r="G8" s="22"/>
      <c r="H8" s="22"/>
      <c r="I8" s="22"/>
      <c r="J8" s="22">
        <v>141</v>
      </c>
      <c r="K8" s="22"/>
      <c r="L8" s="22"/>
      <c r="M8" s="22"/>
      <c r="N8" s="22">
        <v>83</v>
      </c>
      <c r="O8" s="22"/>
      <c r="P8" s="22"/>
      <c r="Q8" s="22"/>
      <c r="R8" s="22">
        <v>5</v>
      </c>
      <c r="S8" s="22"/>
      <c r="T8" s="22"/>
      <c r="U8" s="22"/>
    </row>
    <row r="9" spans="1:27" x14ac:dyDescent="0.2">
      <c r="A9" s="1" t="s">
        <v>18</v>
      </c>
      <c r="B9" s="22">
        <v>110</v>
      </c>
      <c r="C9" s="22"/>
      <c r="D9" s="22"/>
      <c r="E9" s="22"/>
      <c r="F9" s="22">
        <f t="shared" si="0"/>
        <v>0</v>
      </c>
      <c r="G9" s="22"/>
      <c r="H9" s="22"/>
      <c r="I9" s="22"/>
      <c r="J9" s="22">
        <v>141</v>
      </c>
      <c r="K9" s="22"/>
      <c r="L9" s="22"/>
      <c r="M9" s="22"/>
      <c r="N9" s="22">
        <v>83</v>
      </c>
      <c r="O9" s="22"/>
      <c r="P9" s="22"/>
      <c r="Q9" s="22"/>
      <c r="R9" s="22">
        <v>5</v>
      </c>
      <c r="S9" s="22"/>
      <c r="T9" s="22"/>
      <c r="U9" s="22"/>
    </row>
    <row r="10" spans="1:27" x14ac:dyDescent="0.2">
      <c r="A10" s="82" t="s">
        <v>19</v>
      </c>
      <c r="B10" s="22">
        <v>110</v>
      </c>
      <c r="C10" s="84"/>
      <c r="D10" s="84"/>
      <c r="E10" s="84"/>
      <c r="F10" s="104">
        <f t="shared" si="0"/>
        <v>0</v>
      </c>
      <c r="G10" s="84"/>
      <c r="H10" s="84"/>
      <c r="I10" s="84"/>
      <c r="J10" s="22">
        <v>141</v>
      </c>
      <c r="K10" s="22"/>
      <c r="L10" s="104"/>
      <c r="M10" s="104"/>
      <c r="N10" s="22">
        <v>83</v>
      </c>
      <c r="O10" s="22"/>
      <c r="P10" s="104"/>
      <c r="Q10" s="104"/>
      <c r="R10" s="22"/>
      <c r="S10" s="22"/>
      <c r="T10" s="104"/>
      <c r="U10" s="104"/>
    </row>
    <row r="11" spans="1:27" x14ac:dyDescent="0.2">
      <c r="A11" s="1" t="s">
        <v>10</v>
      </c>
      <c r="B11" s="22">
        <v>110</v>
      </c>
      <c r="C11" s="22"/>
      <c r="D11" s="22"/>
      <c r="E11" s="22"/>
      <c r="F11" s="22">
        <f t="shared" si="0"/>
        <v>0</v>
      </c>
      <c r="G11" s="22"/>
      <c r="H11" s="22"/>
      <c r="I11" s="22"/>
      <c r="J11" s="22">
        <v>141</v>
      </c>
      <c r="K11" s="22"/>
      <c r="L11" s="22"/>
      <c r="M11" s="22"/>
      <c r="N11" s="22">
        <v>83</v>
      </c>
      <c r="O11" s="22"/>
      <c r="P11" s="22"/>
      <c r="Q11" s="22"/>
      <c r="R11" s="22"/>
      <c r="S11" s="22"/>
      <c r="T11" s="22"/>
      <c r="U11" s="22"/>
    </row>
    <row r="12" spans="1:27" x14ac:dyDescent="0.2">
      <c r="A12" s="1" t="s">
        <v>11</v>
      </c>
      <c r="B12" s="22">
        <v>110</v>
      </c>
      <c r="C12" s="22"/>
      <c r="D12" s="22"/>
      <c r="E12" s="22"/>
      <c r="F12" s="22">
        <f t="shared" si="0"/>
        <v>0</v>
      </c>
      <c r="G12" s="22"/>
      <c r="H12" s="22"/>
      <c r="I12" s="22"/>
      <c r="J12" s="22">
        <v>144</v>
      </c>
      <c r="K12" s="22"/>
      <c r="L12" s="22"/>
      <c r="M12" s="22"/>
      <c r="N12" s="22">
        <v>83</v>
      </c>
      <c r="O12" s="22"/>
      <c r="P12" s="22"/>
      <c r="Q12" s="22"/>
      <c r="R12" s="22"/>
      <c r="S12" s="22"/>
      <c r="T12" s="22"/>
      <c r="U12" s="22"/>
    </row>
    <row r="13" spans="1:27" x14ac:dyDescent="0.2">
      <c r="A13" s="1" t="s">
        <v>12</v>
      </c>
      <c r="B13" s="22">
        <v>110</v>
      </c>
      <c r="C13" s="22"/>
      <c r="D13" s="22"/>
      <c r="E13" s="22"/>
      <c r="F13" s="22">
        <f t="shared" si="0"/>
        <v>0</v>
      </c>
      <c r="G13" s="22"/>
      <c r="H13" s="22"/>
      <c r="I13" s="22"/>
      <c r="J13" s="22">
        <v>141</v>
      </c>
      <c r="K13" s="22"/>
      <c r="L13" s="22"/>
      <c r="M13" s="22"/>
      <c r="N13" s="22">
        <v>83</v>
      </c>
      <c r="O13" s="22"/>
      <c r="P13" s="22"/>
      <c r="Q13" s="22"/>
      <c r="R13" s="22"/>
      <c r="S13" s="22"/>
      <c r="T13" s="22"/>
      <c r="U13" s="22"/>
    </row>
    <row r="14" spans="1:27" x14ac:dyDescent="0.2">
      <c r="A14" s="1" t="s">
        <v>13</v>
      </c>
      <c r="B14" s="22">
        <v>110</v>
      </c>
      <c r="C14" s="22"/>
      <c r="D14" s="22"/>
      <c r="E14" s="22"/>
      <c r="F14" s="22">
        <f t="shared" si="0"/>
        <v>0</v>
      </c>
      <c r="G14" s="22"/>
      <c r="H14" s="22"/>
      <c r="I14" s="22"/>
      <c r="J14" s="22">
        <v>141</v>
      </c>
      <c r="K14" s="22"/>
      <c r="L14" s="22"/>
      <c r="M14" s="22"/>
      <c r="N14" s="22">
        <v>83</v>
      </c>
      <c r="O14" s="22"/>
      <c r="P14" s="22"/>
      <c r="Q14" s="22"/>
      <c r="R14" s="22"/>
      <c r="S14" s="22"/>
      <c r="T14" s="22"/>
      <c r="U14" s="22"/>
    </row>
    <row r="15" spans="1:27" x14ac:dyDescent="0.2">
      <c r="A15" s="1" t="s">
        <v>14</v>
      </c>
      <c r="B15" s="22">
        <v>120</v>
      </c>
      <c r="C15" s="22"/>
      <c r="D15" s="22"/>
      <c r="E15" s="22"/>
      <c r="F15" s="22">
        <f t="shared" si="0"/>
        <v>0</v>
      </c>
      <c r="G15" s="22"/>
      <c r="H15" s="22"/>
      <c r="I15" s="22"/>
      <c r="J15" s="22">
        <v>141</v>
      </c>
      <c r="K15" s="22"/>
      <c r="L15" s="22"/>
      <c r="M15" s="22"/>
      <c r="N15" s="22">
        <v>87</v>
      </c>
      <c r="O15" s="22"/>
      <c r="P15" s="22"/>
      <c r="Q15" s="22"/>
      <c r="R15" s="22"/>
      <c r="S15" s="22"/>
      <c r="T15" s="22"/>
      <c r="U15" s="22"/>
    </row>
    <row r="16" spans="1:27" x14ac:dyDescent="0.2">
      <c r="A16" s="1" t="s">
        <v>6</v>
      </c>
      <c r="B16" s="22">
        <f>SUM(B4:B15)</f>
        <v>1330</v>
      </c>
      <c r="C16" s="22">
        <f t="shared" ref="C16:M16" si="1">SUM(C4:C15)</f>
        <v>0</v>
      </c>
      <c r="D16" s="22">
        <f t="shared" si="1"/>
        <v>0</v>
      </c>
      <c r="E16" s="22"/>
      <c r="F16" s="22">
        <f t="shared" si="1"/>
        <v>0</v>
      </c>
      <c r="G16" s="22">
        <f t="shared" si="1"/>
        <v>0</v>
      </c>
      <c r="H16" s="22">
        <f t="shared" si="1"/>
        <v>0</v>
      </c>
      <c r="I16" s="22"/>
      <c r="J16" s="22">
        <f t="shared" si="1"/>
        <v>1695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ref="N16:U16" si="2">SUM(N4:N15)</f>
        <v>1000</v>
      </c>
      <c r="O16" s="22">
        <f t="shared" si="2"/>
        <v>0</v>
      </c>
      <c r="P16" s="22">
        <f t="shared" si="2"/>
        <v>0</v>
      </c>
      <c r="Q16" s="22">
        <f t="shared" si="2"/>
        <v>0</v>
      </c>
      <c r="R16" s="22">
        <f t="shared" si="2"/>
        <v>30</v>
      </c>
      <c r="S16" s="22">
        <f t="shared" si="2"/>
        <v>0</v>
      </c>
      <c r="T16" s="22">
        <f t="shared" si="2"/>
        <v>0</v>
      </c>
      <c r="U16" s="22">
        <f t="shared" si="2"/>
        <v>0</v>
      </c>
    </row>
    <row r="17" spans="1:21" x14ac:dyDescent="0.2">
      <c r="A17" s="28" t="s">
        <v>28</v>
      </c>
      <c r="B17" s="30">
        <f t="shared" ref="B17:L17" si="3">B4+B5</f>
        <v>220</v>
      </c>
      <c r="C17" s="30">
        <f t="shared" si="3"/>
        <v>0</v>
      </c>
      <c r="D17" s="30">
        <f t="shared" si="3"/>
        <v>0</v>
      </c>
      <c r="E17" s="30"/>
      <c r="F17" s="30">
        <f t="shared" si="3"/>
        <v>0</v>
      </c>
      <c r="G17" s="30">
        <f t="shared" si="3"/>
        <v>0</v>
      </c>
      <c r="H17" s="30">
        <f t="shared" si="3"/>
        <v>0</v>
      </c>
      <c r="I17" s="30"/>
      <c r="J17" s="30">
        <f t="shared" si="3"/>
        <v>282</v>
      </c>
      <c r="K17" s="30">
        <f t="shared" si="3"/>
        <v>0</v>
      </c>
      <c r="L17" s="30">
        <f t="shared" si="3"/>
        <v>0</v>
      </c>
      <c r="M17" s="30">
        <f t="shared" ref="M17:U17" si="4">M4+M5</f>
        <v>0</v>
      </c>
      <c r="N17" s="30">
        <f t="shared" si="4"/>
        <v>166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4"/>
        <v>10</v>
      </c>
      <c r="S17" s="30">
        <f t="shared" si="4"/>
        <v>0</v>
      </c>
      <c r="T17" s="30">
        <f t="shared" si="4"/>
        <v>0</v>
      </c>
      <c r="U17" s="30">
        <f t="shared" si="4"/>
        <v>0</v>
      </c>
    </row>
    <row r="18" spans="1:21" x14ac:dyDescent="0.2">
      <c r="A18" s="28"/>
      <c r="B18" s="30">
        <f t="shared" ref="B18:B27" si="5">B17+B6</f>
        <v>330</v>
      </c>
      <c r="C18" s="30">
        <f t="shared" ref="C18:C27" si="6">C17+C6</f>
        <v>0</v>
      </c>
      <c r="D18" s="30">
        <f t="shared" ref="D18:D27" si="7">D17+D6</f>
        <v>0</v>
      </c>
      <c r="E18" s="30"/>
      <c r="F18" s="30">
        <f t="shared" ref="F18:F27" si="8">F17+F6</f>
        <v>0</v>
      </c>
      <c r="G18" s="30">
        <f t="shared" ref="G18:G27" si="9">G17+G6</f>
        <v>0</v>
      </c>
      <c r="H18" s="30">
        <f t="shared" ref="H18:H27" si="10">H17+H6</f>
        <v>0</v>
      </c>
      <c r="I18" s="30"/>
      <c r="J18" s="30">
        <f t="shared" ref="J18:J27" si="11">J17+J6</f>
        <v>423</v>
      </c>
      <c r="K18" s="30">
        <f t="shared" ref="K18:K27" si="12">K17+K6</f>
        <v>0</v>
      </c>
      <c r="L18" s="30">
        <f t="shared" ref="L18:M27" si="13">L17+L6</f>
        <v>0</v>
      </c>
      <c r="M18" s="30">
        <f t="shared" si="13"/>
        <v>0</v>
      </c>
      <c r="N18" s="30">
        <f t="shared" ref="N18:N27" si="14">N17+N6</f>
        <v>249</v>
      </c>
      <c r="O18" s="30">
        <f t="shared" ref="O18:O27" si="15">O17+O6</f>
        <v>0</v>
      </c>
      <c r="P18" s="30">
        <f t="shared" ref="P18:P27" si="16">P17+P6</f>
        <v>0</v>
      </c>
      <c r="Q18" s="30">
        <f t="shared" ref="Q18:Q27" si="17">Q17+Q6</f>
        <v>0</v>
      </c>
      <c r="R18" s="30">
        <f t="shared" ref="R18:R27" si="18">R17+R6</f>
        <v>15</v>
      </c>
      <c r="S18" s="30">
        <f t="shared" ref="S18:S27" si="19">S17+S6</f>
        <v>0</v>
      </c>
      <c r="T18" s="30">
        <f t="shared" ref="T18:T27" si="20">T17+T6</f>
        <v>0</v>
      </c>
      <c r="U18" s="30">
        <f t="shared" ref="U18:U27" si="21">U17+U6</f>
        <v>0</v>
      </c>
    </row>
    <row r="19" spans="1:21" x14ac:dyDescent="0.2">
      <c r="A19" s="28" t="s">
        <v>29</v>
      </c>
      <c r="B19" s="30">
        <f t="shared" si="5"/>
        <v>440</v>
      </c>
      <c r="C19" s="30">
        <f t="shared" si="6"/>
        <v>0</v>
      </c>
      <c r="D19" s="30">
        <f t="shared" si="7"/>
        <v>0</v>
      </c>
      <c r="E19" s="30"/>
      <c r="F19" s="30">
        <f t="shared" si="8"/>
        <v>0</v>
      </c>
      <c r="G19" s="30">
        <f t="shared" si="9"/>
        <v>0</v>
      </c>
      <c r="H19" s="30">
        <f t="shared" si="10"/>
        <v>0</v>
      </c>
      <c r="I19" s="30"/>
      <c r="J19" s="30">
        <f t="shared" si="11"/>
        <v>564</v>
      </c>
      <c r="K19" s="30">
        <f t="shared" si="12"/>
        <v>0</v>
      </c>
      <c r="L19" s="30">
        <f t="shared" si="13"/>
        <v>0</v>
      </c>
      <c r="M19" s="30">
        <f t="shared" si="13"/>
        <v>0</v>
      </c>
      <c r="N19" s="30">
        <f t="shared" si="14"/>
        <v>332</v>
      </c>
      <c r="O19" s="30">
        <f t="shared" si="15"/>
        <v>0</v>
      </c>
      <c r="P19" s="30">
        <f t="shared" si="16"/>
        <v>0</v>
      </c>
      <c r="Q19" s="30">
        <f t="shared" si="17"/>
        <v>0</v>
      </c>
      <c r="R19" s="30">
        <f t="shared" si="18"/>
        <v>20</v>
      </c>
      <c r="S19" s="30">
        <f t="shared" si="19"/>
        <v>0</v>
      </c>
      <c r="T19" s="30">
        <f t="shared" si="20"/>
        <v>0</v>
      </c>
      <c r="U19" s="30">
        <f t="shared" si="21"/>
        <v>0</v>
      </c>
    </row>
    <row r="20" spans="1:21" x14ac:dyDescent="0.2">
      <c r="A20" s="28" t="s">
        <v>30</v>
      </c>
      <c r="B20" s="30">
        <f t="shared" si="5"/>
        <v>550</v>
      </c>
      <c r="C20" s="30">
        <f t="shared" si="6"/>
        <v>0</v>
      </c>
      <c r="D20" s="30">
        <f t="shared" si="7"/>
        <v>0</v>
      </c>
      <c r="E20" s="30"/>
      <c r="F20" s="30">
        <f t="shared" si="8"/>
        <v>0</v>
      </c>
      <c r="G20" s="30">
        <f t="shared" si="9"/>
        <v>0</v>
      </c>
      <c r="H20" s="30">
        <f t="shared" si="10"/>
        <v>0</v>
      </c>
      <c r="I20" s="30"/>
      <c r="J20" s="30">
        <f t="shared" si="11"/>
        <v>705</v>
      </c>
      <c r="K20" s="30">
        <f t="shared" si="12"/>
        <v>0</v>
      </c>
      <c r="L20" s="30">
        <f t="shared" si="13"/>
        <v>0</v>
      </c>
      <c r="M20" s="30">
        <f t="shared" si="13"/>
        <v>0</v>
      </c>
      <c r="N20" s="30">
        <f t="shared" si="14"/>
        <v>415</v>
      </c>
      <c r="O20" s="30">
        <f t="shared" si="15"/>
        <v>0</v>
      </c>
      <c r="P20" s="30">
        <f t="shared" si="16"/>
        <v>0</v>
      </c>
      <c r="Q20" s="30">
        <f t="shared" si="17"/>
        <v>0</v>
      </c>
      <c r="R20" s="30">
        <f t="shared" si="18"/>
        <v>25</v>
      </c>
      <c r="S20" s="30">
        <f t="shared" si="19"/>
        <v>0</v>
      </c>
      <c r="T20" s="30">
        <f t="shared" si="20"/>
        <v>0</v>
      </c>
      <c r="U20" s="30">
        <f t="shared" si="21"/>
        <v>0</v>
      </c>
    </row>
    <row r="21" spans="1:21" x14ac:dyDescent="0.2">
      <c r="A21" s="28" t="s">
        <v>31</v>
      </c>
      <c r="B21" s="30">
        <f t="shared" si="5"/>
        <v>660</v>
      </c>
      <c r="C21" s="30">
        <f t="shared" si="6"/>
        <v>0</v>
      </c>
      <c r="D21" s="30">
        <f t="shared" si="7"/>
        <v>0</v>
      </c>
      <c r="E21" s="30"/>
      <c r="F21" s="30">
        <f t="shared" si="8"/>
        <v>0</v>
      </c>
      <c r="G21" s="30">
        <f t="shared" si="9"/>
        <v>0</v>
      </c>
      <c r="H21" s="30">
        <f t="shared" si="10"/>
        <v>0</v>
      </c>
      <c r="I21" s="30"/>
      <c r="J21" s="30">
        <f t="shared" si="11"/>
        <v>846</v>
      </c>
      <c r="K21" s="30">
        <f t="shared" si="12"/>
        <v>0</v>
      </c>
      <c r="L21" s="30">
        <f t="shared" si="13"/>
        <v>0</v>
      </c>
      <c r="M21" s="30">
        <f t="shared" si="13"/>
        <v>0</v>
      </c>
      <c r="N21" s="30">
        <f t="shared" si="14"/>
        <v>498</v>
      </c>
      <c r="O21" s="30">
        <f t="shared" si="15"/>
        <v>0</v>
      </c>
      <c r="P21" s="30">
        <f t="shared" si="16"/>
        <v>0</v>
      </c>
      <c r="Q21" s="30">
        <f t="shared" si="17"/>
        <v>0</v>
      </c>
      <c r="R21" s="30">
        <f t="shared" si="18"/>
        <v>30</v>
      </c>
      <c r="S21" s="30">
        <f t="shared" si="19"/>
        <v>0</v>
      </c>
      <c r="T21" s="30">
        <f t="shared" si="20"/>
        <v>0</v>
      </c>
      <c r="U21" s="30">
        <f t="shared" si="21"/>
        <v>0</v>
      </c>
    </row>
    <row r="22" spans="1:21" x14ac:dyDescent="0.2">
      <c r="A22" s="28" t="s">
        <v>32</v>
      </c>
      <c r="B22" s="30">
        <f t="shared" si="5"/>
        <v>770</v>
      </c>
      <c r="C22" s="30">
        <f t="shared" si="6"/>
        <v>0</v>
      </c>
      <c r="D22" s="30">
        <f t="shared" si="7"/>
        <v>0</v>
      </c>
      <c r="E22" s="30"/>
      <c r="F22" s="30">
        <f t="shared" si="8"/>
        <v>0</v>
      </c>
      <c r="G22" s="30">
        <f t="shared" si="9"/>
        <v>0</v>
      </c>
      <c r="H22" s="30">
        <f t="shared" si="10"/>
        <v>0</v>
      </c>
      <c r="I22" s="30"/>
      <c r="J22" s="30">
        <f t="shared" si="11"/>
        <v>987</v>
      </c>
      <c r="K22" s="30">
        <f t="shared" si="12"/>
        <v>0</v>
      </c>
      <c r="L22" s="30">
        <f t="shared" si="13"/>
        <v>0</v>
      </c>
      <c r="M22" s="30">
        <f t="shared" si="13"/>
        <v>0</v>
      </c>
      <c r="N22" s="30">
        <f t="shared" si="14"/>
        <v>581</v>
      </c>
      <c r="O22" s="30">
        <f t="shared" si="15"/>
        <v>0</v>
      </c>
      <c r="P22" s="30">
        <f t="shared" si="16"/>
        <v>0</v>
      </c>
      <c r="Q22" s="30">
        <f t="shared" si="17"/>
        <v>0</v>
      </c>
      <c r="R22" s="30">
        <f t="shared" si="18"/>
        <v>30</v>
      </c>
      <c r="S22" s="30">
        <f t="shared" si="19"/>
        <v>0</v>
      </c>
      <c r="T22" s="30">
        <f t="shared" si="20"/>
        <v>0</v>
      </c>
      <c r="U22" s="30">
        <f t="shared" si="21"/>
        <v>0</v>
      </c>
    </row>
    <row r="23" spans="1:21" x14ac:dyDescent="0.2">
      <c r="A23" s="28" t="s">
        <v>33</v>
      </c>
      <c r="B23" s="30">
        <f t="shared" si="5"/>
        <v>880</v>
      </c>
      <c r="C23" s="30">
        <f t="shared" si="6"/>
        <v>0</v>
      </c>
      <c r="D23" s="30">
        <f t="shared" si="7"/>
        <v>0</v>
      </c>
      <c r="E23" s="30"/>
      <c r="F23" s="30">
        <f t="shared" si="8"/>
        <v>0</v>
      </c>
      <c r="G23" s="30">
        <f t="shared" si="9"/>
        <v>0</v>
      </c>
      <c r="H23" s="30">
        <f t="shared" si="10"/>
        <v>0</v>
      </c>
      <c r="I23" s="30"/>
      <c r="J23" s="30">
        <f t="shared" si="11"/>
        <v>1128</v>
      </c>
      <c r="K23" s="30">
        <f t="shared" si="12"/>
        <v>0</v>
      </c>
      <c r="L23" s="30">
        <f t="shared" si="13"/>
        <v>0</v>
      </c>
      <c r="M23" s="30">
        <f t="shared" si="13"/>
        <v>0</v>
      </c>
      <c r="N23" s="30">
        <f t="shared" si="14"/>
        <v>664</v>
      </c>
      <c r="O23" s="30">
        <f t="shared" si="15"/>
        <v>0</v>
      </c>
      <c r="P23" s="30">
        <f t="shared" si="16"/>
        <v>0</v>
      </c>
      <c r="Q23" s="30">
        <f t="shared" si="17"/>
        <v>0</v>
      </c>
      <c r="R23" s="30">
        <f t="shared" si="18"/>
        <v>30</v>
      </c>
      <c r="S23" s="30">
        <f t="shared" si="19"/>
        <v>0</v>
      </c>
      <c r="T23" s="30">
        <f t="shared" si="20"/>
        <v>0</v>
      </c>
      <c r="U23" s="30">
        <f t="shared" si="21"/>
        <v>0</v>
      </c>
    </row>
    <row r="24" spans="1:21" x14ac:dyDescent="0.2">
      <c r="A24" s="28" t="s">
        <v>34</v>
      </c>
      <c r="B24" s="30">
        <f t="shared" si="5"/>
        <v>990</v>
      </c>
      <c r="C24" s="30">
        <f t="shared" si="6"/>
        <v>0</v>
      </c>
      <c r="D24" s="30">
        <f t="shared" si="7"/>
        <v>0</v>
      </c>
      <c r="E24" s="30"/>
      <c r="F24" s="30">
        <f t="shared" si="8"/>
        <v>0</v>
      </c>
      <c r="G24" s="30">
        <f t="shared" si="9"/>
        <v>0</v>
      </c>
      <c r="H24" s="30">
        <f t="shared" si="10"/>
        <v>0</v>
      </c>
      <c r="I24" s="30"/>
      <c r="J24" s="30">
        <f t="shared" si="11"/>
        <v>1272</v>
      </c>
      <c r="K24" s="30">
        <f t="shared" si="12"/>
        <v>0</v>
      </c>
      <c r="L24" s="30">
        <f t="shared" si="13"/>
        <v>0</v>
      </c>
      <c r="M24" s="30">
        <f t="shared" si="13"/>
        <v>0</v>
      </c>
      <c r="N24" s="30">
        <f t="shared" si="14"/>
        <v>747</v>
      </c>
      <c r="O24" s="30">
        <f t="shared" si="15"/>
        <v>0</v>
      </c>
      <c r="P24" s="30">
        <f t="shared" si="16"/>
        <v>0</v>
      </c>
      <c r="Q24" s="30">
        <f t="shared" si="17"/>
        <v>0</v>
      </c>
      <c r="R24" s="30">
        <f t="shared" si="18"/>
        <v>30</v>
      </c>
      <c r="S24" s="30">
        <f t="shared" si="19"/>
        <v>0</v>
      </c>
      <c r="T24" s="30">
        <f t="shared" si="20"/>
        <v>0</v>
      </c>
      <c r="U24" s="30">
        <f t="shared" si="21"/>
        <v>0</v>
      </c>
    </row>
    <row r="25" spans="1:21" x14ac:dyDescent="0.2">
      <c r="A25" s="29" t="s">
        <v>35</v>
      </c>
      <c r="B25" s="31">
        <f t="shared" si="5"/>
        <v>1100</v>
      </c>
      <c r="C25" s="31">
        <f t="shared" si="6"/>
        <v>0</v>
      </c>
      <c r="D25" s="31">
        <f t="shared" si="7"/>
        <v>0</v>
      </c>
      <c r="E25" s="31"/>
      <c r="F25" s="31">
        <f t="shared" si="8"/>
        <v>0</v>
      </c>
      <c r="G25" s="31">
        <f t="shared" si="9"/>
        <v>0</v>
      </c>
      <c r="H25" s="31">
        <f t="shared" si="10"/>
        <v>0</v>
      </c>
      <c r="I25" s="31"/>
      <c r="J25" s="31">
        <f t="shared" si="11"/>
        <v>1413</v>
      </c>
      <c r="K25" s="31">
        <f t="shared" si="12"/>
        <v>0</v>
      </c>
      <c r="L25" s="31">
        <f t="shared" si="13"/>
        <v>0</v>
      </c>
      <c r="M25" s="31">
        <f t="shared" si="13"/>
        <v>0</v>
      </c>
      <c r="N25" s="31">
        <f t="shared" si="14"/>
        <v>830</v>
      </c>
      <c r="O25" s="31">
        <f t="shared" si="15"/>
        <v>0</v>
      </c>
      <c r="P25" s="31">
        <f t="shared" si="16"/>
        <v>0</v>
      </c>
      <c r="Q25" s="31">
        <f t="shared" si="17"/>
        <v>0</v>
      </c>
      <c r="R25" s="31">
        <f t="shared" si="18"/>
        <v>30</v>
      </c>
      <c r="S25" s="31">
        <f t="shared" si="19"/>
        <v>0</v>
      </c>
      <c r="T25" s="31">
        <f t="shared" si="20"/>
        <v>0</v>
      </c>
      <c r="U25" s="31">
        <f t="shared" si="21"/>
        <v>0</v>
      </c>
    </row>
    <row r="26" spans="1:21" x14ac:dyDescent="0.2">
      <c r="A26" s="29" t="s">
        <v>36</v>
      </c>
      <c r="B26" s="31">
        <f t="shared" si="5"/>
        <v>1210</v>
      </c>
      <c r="C26" s="31">
        <f t="shared" si="6"/>
        <v>0</v>
      </c>
      <c r="D26" s="31">
        <f t="shared" si="7"/>
        <v>0</v>
      </c>
      <c r="E26" s="31"/>
      <c r="F26" s="31">
        <f t="shared" si="8"/>
        <v>0</v>
      </c>
      <c r="G26" s="31">
        <f t="shared" si="9"/>
        <v>0</v>
      </c>
      <c r="H26" s="31">
        <f t="shared" si="10"/>
        <v>0</v>
      </c>
      <c r="I26" s="31"/>
      <c r="J26" s="31">
        <f t="shared" si="11"/>
        <v>1554</v>
      </c>
      <c r="K26" s="31">
        <f t="shared" si="12"/>
        <v>0</v>
      </c>
      <c r="L26" s="31">
        <f t="shared" si="13"/>
        <v>0</v>
      </c>
      <c r="M26" s="31">
        <f t="shared" si="13"/>
        <v>0</v>
      </c>
      <c r="N26" s="31">
        <f t="shared" si="14"/>
        <v>913</v>
      </c>
      <c r="O26" s="31">
        <f t="shared" si="15"/>
        <v>0</v>
      </c>
      <c r="P26" s="31">
        <f t="shared" si="16"/>
        <v>0</v>
      </c>
      <c r="Q26" s="31">
        <f t="shared" si="17"/>
        <v>0</v>
      </c>
      <c r="R26" s="31">
        <f t="shared" si="18"/>
        <v>30</v>
      </c>
      <c r="S26" s="31">
        <f t="shared" si="19"/>
        <v>0</v>
      </c>
      <c r="T26" s="31">
        <f t="shared" si="20"/>
        <v>0</v>
      </c>
      <c r="U26" s="31">
        <f t="shared" si="21"/>
        <v>0</v>
      </c>
    </row>
    <row r="27" spans="1:21" x14ac:dyDescent="0.2">
      <c r="A27" s="12" t="s">
        <v>15</v>
      </c>
      <c r="B27" s="32">
        <f t="shared" si="5"/>
        <v>1330</v>
      </c>
      <c r="C27" s="32">
        <f t="shared" si="6"/>
        <v>0</v>
      </c>
      <c r="D27" s="32">
        <f t="shared" si="7"/>
        <v>0</v>
      </c>
      <c r="E27" s="32"/>
      <c r="F27" s="32">
        <f t="shared" si="8"/>
        <v>0</v>
      </c>
      <c r="G27" s="32">
        <f t="shared" si="9"/>
        <v>0</v>
      </c>
      <c r="H27" s="32">
        <f t="shared" si="10"/>
        <v>0</v>
      </c>
      <c r="I27" s="32"/>
      <c r="J27" s="32">
        <f t="shared" si="11"/>
        <v>1695</v>
      </c>
      <c r="K27" s="32">
        <f t="shared" si="12"/>
        <v>0</v>
      </c>
      <c r="L27" s="32">
        <f t="shared" si="13"/>
        <v>0</v>
      </c>
      <c r="M27" s="32">
        <f t="shared" si="13"/>
        <v>0</v>
      </c>
      <c r="N27" s="32">
        <f t="shared" si="14"/>
        <v>1000</v>
      </c>
      <c r="O27" s="32">
        <f t="shared" si="15"/>
        <v>0</v>
      </c>
      <c r="P27" s="32">
        <f t="shared" si="16"/>
        <v>0</v>
      </c>
      <c r="Q27" s="32">
        <f t="shared" si="17"/>
        <v>0</v>
      </c>
      <c r="R27" s="32">
        <f t="shared" si="18"/>
        <v>30</v>
      </c>
      <c r="S27" s="32">
        <f t="shared" si="19"/>
        <v>0</v>
      </c>
      <c r="T27" s="32">
        <f t="shared" si="20"/>
        <v>0</v>
      </c>
      <c r="U27" s="32">
        <f t="shared" si="21"/>
        <v>0</v>
      </c>
    </row>
  </sheetData>
  <mergeCells count="10">
    <mergeCell ref="N1:Q1"/>
    <mergeCell ref="O2:P2"/>
    <mergeCell ref="R1:U1"/>
    <mergeCell ref="S2:T2"/>
    <mergeCell ref="C2:D2"/>
    <mergeCell ref="G2:H2"/>
    <mergeCell ref="K2:L2"/>
    <mergeCell ref="B1:D1"/>
    <mergeCell ref="F1:H1"/>
    <mergeCell ref="J1:M1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2" topLeftCell="E3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245</v>
      </c>
      <c r="C4" s="22"/>
      <c r="D4" s="22"/>
      <c r="E4" s="22"/>
      <c r="F4" s="22">
        <v>215</v>
      </c>
      <c r="G4" s="22"/>
      <c r="H4" s="22"/>
      <c r="I4" s="125"/>
      <c r="J4" s="22"/>
      <c r="K4" s="22"/>
      <c r="L4" s="22"/>
      <c r="M4" s="22"/>
      <c r="N4" s="22">
        <v>905</v>
      </c>
      <c r="O4" s="22"/>
      <c r="P4" s="22"/>
      <c r="Q4" s="22"/>
      <c r="R4" s="22">
        <v>210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220</v>
      </c>
      <c r="C5" s="22"/>
      <c r="D5" s="22"/>
      <c r="E5" s="22"/>
      <c r="F5" s="22">
        <v>205</v>
      </c>
      <c r="G5" s="22"/>
      <c r="H5" s="22"/>
      <c r="I5" s="125"/>
      <c r="J5" s="22"/>
      <c r="K5" s="22"/>
      <c r="L5" s="22"/>
      <c r="M5" s="22"/>
      <c r="N5" s="22">
        <v>905</v>
      </c>
      <c r="O5" s="22"/>
      <c r="P5" s="22"/>
      <c r="Q5" s="22"/>
      <c r="R5" s="22">
        <v>210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245</v>
      </c>
      <c r="C6" s="22"/>
      <c r="D6" s="22"/>
      <c r="E6" s="22"/>
      <c r="F6" s="22">
        <v>235</v>
      </c>
      <c r="G6" s="22"/>
      <c r="H6" s="22"/>
      <c r="I6" s="125"/>
      <c r="J6" s="22"/>
      <c r="K6" s="22"/>
      <c r="L6" s="22"/>
      <c r="M6" s="22"/>
      <c r="N6" s="22">
        <v>925</v>
      </c>
      <c r="O6" s="22"/>
      <c r="P6" s="22"/>
      <c r="Q6" s="22"/>
      <c r="R6" s="22">
        <v>215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245</v>
      </c>
      <c r="C7" s="22"/>
      <c r="D7" s="22"/>
      <c r="E7" s="22"/>
      <c r="F7" s="22">
        <v>235</v>
      </c>
      <c r="G7" s="22"/>
      <c r="H7" s="22"/>
      <c r="I7" s="125"/>
      <c r="J7" s="22"/>
      <c r="K7" s="22"/>
      <c r="L7" s="22"/>
      <c r="M7" s="22"/>
      <c r="N7" s="22">
        <v>930</v>
      </c>
      <c r="O7" s="22"/>
      <c r="P7" s="22"/>
      <c r="Q7" s="22"/>
      <c r="R7" s="22">
        <v>215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230</v>
      </c>
      <c r="C8" s="22"/>
      <c r="D8" s="22"/>
      <c r="E8" s="22"/>
      <c r="F8" s="22">
        <v>210</v>
      </c>
      <c r="G8" s="22"/>
      <c r="H8" s="22"/>
      <c r="I8" s="125"/>
      <c r="J8" s="22"/>
      <c r="K8" s="22"/>
      <c r="L8" s="22"/>
      <c r="M8" s="22"/>
      <c r="N8" s="22">
        <v>895</v>
      </c>
      <c r="O8" s="22"/>
      <c r="P8" s="22"/>
      <c r="Q8" s="22"/>
      <c r="R8" s="22">
        <v>210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230</v>
      </c>
      <c r="C9" s="22"/>
      <c r="D9" s="22"/>
      <c r="E9" s="22"/>
      <c r="F9" s="22">
        <v>195</v>
      </c>
      <c r="G9" s="22"/>
      <c r="H9" s="22"/>
      <c r="I9" s="125"/>
      <c r="J9" s="22">
        <v>4470</v>
      </c>
      <c r="K9" s="22"/>
      <c r="L9" s="22"/>
      <c r="M9" s="22"/>
      <c r="N9" s="22">
        <v>895</v>
      </c>
      <c r="O9" s="22"/>
      <c r="P9" s="22"/>
      <c r="Q9" s="22"/>
      <c r="R9" s="22">
        <v>210</v>
      </c>
      <c r="S9" s="22"/>
      <c r="T9" s="22"/>
      <c r="U9" s="22"/>
      <c r="V9" s="22">
        <v>1180</v>
      </c>
      <c r="W9" s="22"/>
      <c r="X9" s="22"/>
      <c r="Y9" s="22"/>
      <c r="Z9" s="22"/>
      <c r="AA9" s="22"/>
      <c r="AB9" s="22"/>
      <c r="AC9" s="22"/>
    </row>
    <row r="10" spans="1:29" x14ac:dyDescent="0.2">
      <c r="A10" s="18" t="s">
        <v>19</v>
      </c>
      <c r="B10" s="22">
        <v>230</v>
      </c>
      <c r="C10" s="22"/>
      <c r="D10" s="22"/>
      <c r="E10" s="22"/>
      <c r="F10" s="22">
        <v>195</v>
      </c>
      <c r="G10" s="22"/>
      <c r="H10" s="22"/>
      <c r="I10" s="125"/>
      <c r="J10" s="22">
        <v>2381</v>
      </c>
      <c r="K10" s="22"/>
      <c r="L10" s="22"/>
      <c r="M10" s="22"/>
      <c r="N10" s="22">
        <v>801</v>
      </c>
      <c r="O10" s="22"/>
      <c r="P10" s="22"/>
      <c r="Q10" s="22"/>
      <c r="R10" s="22">
        <v>120</v>
      </c>
      <c r="S10" s="22"/>
      <c r="T10" s="22"/>
      <c r="U10" s="22"/>
      <c r="V10" s="22">
        <v>190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241</v>
      </c>
      <c r="C11" s="22"/>
      <c r="D11" s="22"/>
      <c r="E11" s="22"/>
      <c r="F11" s="22">
        <v>205</v>
      </c>
      <c r="G11" s="22"/>
      <c r="H11" s="22"/>
      <c r="I11" s="125"/>
      <c r="J11" s="22">
        <v>2381</v>
      </c>
      <c r="K11" s="22"/>
      <c r="L11" s="22"/>
      <c r="M11" s="22"/>
      <c r="N11" s="22">
        <v>801</v>
      </c>
      <c r="O11" s="22"/>
      <c r="P11" s="22"/>
      <c r="Q11" s="22"/>
      <c r="R11" s="22">
        <v>120</v>
      </c>
      <c r="S11" s="22"/>
      <c r="T11" s="22"/>
      <c r="U11" s="22"/>
      <c r="V11" s="22">
        <v>190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247</v>
      </c>
      <c r="C12" s="22"/>
      <c r="D12" s="22"/>
      <c r="E12" s="22"/>
      <c r="F12" s="22">
        <v>225</v>
      </c>
      <c r="G12" s="22"/>
      <c r="H12" s="22"/>
      <c r="I12" s="125"/>
      <c r="J12" s="22">
        <v>2398</v>
      </c>
      <c r="K12" s="22"/>
      <c r="L12" s="22"/>
      <c r="M12" s="22"/>
      <c r="N12" s="22">
        <v>804</v>
      </c>
      <c r="O12" s="22"/>
      <c r="P12" s="22"/>
      <c r="Q12" s="22"/>
      <c r="R12" s="22">
        <v>120</v>
      </c>
      <c r="S12" s="22"/>
      <c r="T12" s="22"/>
      <c r="U12" s="22"/>
      <c r="V12" s="22">
        <v>190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247</v>
      </c>
      <c r="C13" s="22"/>
      <c r="D13" s="22"/>
      <c r="E13" s="22"/>
      <c r="F13" s="22">
        <v>225</v>
      </c>
      <c r="G13" s="22"/>
      <c r="H13" s="22"/>
      <c r="I13" s="125"/>
      <c r="J13" s="22">
        <v>2399</v>
      </c>
      <c r="K13" s="22"/>
      <c r="L13" s="22"/>
      <c r="M13" s="22"/>
      <c r="N13" s="22">
        <v>804</v>
      </c>
      <c r="O13" s="22"/>
      <c r="P13" s="22"/>
      <c r="Q13" s="22"/>
      <c r="R13" s="22">
        <v>120</v>
      </c>
      <c r="S13" s="22"/>
      <c r="T13" s="22"/>
      <c r="U13" s="22"/>
      <c r="V13" s="22">
        <v>190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247</v>
      </c>
      <c r="C14" s="22"/>
      <c r="D14" s="22"/>
      <c r="E14" s="22"/>
      <c r="F14" s="22">
        <v>230</v>
      </c>
      <c r="G14" s="22"/>
      <c r="H14" s="22"/>
      <c r="I14" s="125"/>
      <c r="J14" s="22">
        <v>2399</v>
      </c>
      <c r="K14" s="22"/>
      <c r="L14" s="22"/>
      <c r="M14" s="22"/>
      <c r="N14" s="22">
        <v>821</v>
      </c>
      <c r="O14" s="22"/>
      <c r="P14" s="22"/>
      <c r="Q14" s="22"/>
      <c r="R14" s="22">
        <v>125</v>
      </c>
      <c r="S14" s="22"/>
      <c r="T14" s="22"/>
      <c r="U14" s="22"/>
      <c r="V14" s="22">
        <v>195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253</v>
      </c>
      <c r="C15" s="22"/>
      <c r="D15" s="22"/>
      <c r="E15" s="22"/>
      <c r="F15" s="22">
        <v>225</v>
      </c>
      <c r="G15" s="22"/>
      <c r="H15" s="22"/>
      <c r="I15" s="125"/>
      <c r="J15" s="22">
        <v>2400</v>
      </c>
      <c r="K15" s="22"/>
      <c r="L15" s="22"/>
      <c r="M15" s="22"/>
      <c r="N15" s="22">
        <v>842</v>
      </c>
      <c r="O15" s="22"/>
      <c r="P15" s="22"/>
      <c r="Q15" s="22"/>
      <c r="R15" s="22">
        <v>125</v>
      </c>
      <c r="S15" s="22"/>
      <c r="T15" s="22"/>
      <c r="U15" s="22"/>
      <c r="V15" s="22">
        <v>195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2880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2600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18828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10328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2000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2330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465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420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1810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420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100</v>
      </c>
      <c r="B18" s="30">
        <f t="shared" ref="B18:AC27" si="2">B17+B6</f>
        <v>710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655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2735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635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955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890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3665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850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1185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1100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4560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1060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1415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1295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4470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5455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1270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1180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1645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1490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6851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6256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1390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1370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1886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1695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9232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7057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1510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1560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2133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1920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11630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7861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1630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1750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2380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2145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14029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8665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1750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1940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2627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2375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16428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9486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1875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2135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2880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2600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18828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10328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2000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2330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B1:D1"/>
    <mergeCell ref="F1:H1"/>
    <mergeCell ref="O2:Q2"/>
    <mergeCell ref="S2:U2"/>
    <mergeCell ref="W2:Y2"/>
    <mergeCell ref="AA2:AC2"/>
    <mergeCell ref="K2:M2"/>
    <mergeCell ref="C2:E2"/>
    <mergeCell ref="G2:I2"/>
  </mergeCells>
  <phoneticPr fontId="0" type="noConversion"/>
  <pageMargins left="0" right="0.78740157480314965" top="0" bottom="0" header="0" footer="0"/>
  <pageSetup paperSize="9" scale="52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J18" sqref="J18"/>
    </sheetView>
  </sheetViews>
  <sheetFormatPr defaultRowHeight="12.75" x14ac:dyDescent="0.2"/>
  <cols>
    <col min="1" max="1" width="12.28515625" customWidth="1"/>
    <col min="2" max="6" width="0" hidden="1" customWidth="1"/>
    <col min="7" max="7" width="11" hidden="1" customWidth="1"/>
    <col min="8" max="9" width="9" hidden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363" t="s">
        <v>22</v>
      </c>
      <c r="L1" s="364"/>
      <c r="M1" s="364"/>
      <c r="N1" s="19"/>
      <c r="O1" s="363" t="s">
        <v>192</v>
      </c>
      <c r="P1" s="364"/>
      <c r="Q1" s="364"/>
      <c r="S1" t="s">
        <v>193</v>
      </c>
      <c r="W1" t="s">
        <v>188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17" t="s">
        <v>27</v>
      </c>
      <c r="L3" s="15" t="s">
        <v>26</v>
      </c>
      <c r="M3" s="121" t="s">
        <v>105</v>
      </c>
      <c r="N3" s="7"/>
      <c r="O3" s="17" t="s">
        <v>27</v>
      </c>
      <c r="P3" s="15" t="s">
        <v>26</v>
      </c>
      <c r="Q3" s="121" t="s">
        <v>105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>
        <v>1983</v>
      </c>
      <c r="K4" s="135"/>
      <c r="L4" s="135"/>
      <c r="M4" s="135"/>
      <c r="N4" s="135"/>
      <c r="O4" s="135"/>
      <c r="P4" s="135"/>
      <c r="Q4" s="135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>
        <v>1983</v>
      </c>
      <c r="K5" s="135"/>
      <c r="L5" s="135"/>
      <c r="M5" s="135"/>
      <c r="N5" s="135"/>
      <c r="O5" s="135"/>
      <c r="P5" s="135"/>
      <c r="Q5" s="135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1983</v>
      </c>
      <c r="K6" s="135"/>
      <c r="L6" s="135"/>
      <c r="M6" s="135"/>
      <c r="N6" s="135"/>
      <c r="O6" s="135"/>
      <c r="P6" s="135"/>
      <c r="Q6" s="135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1983</v>
      </c>
      <c r="K7" s="135"/>
      <c r="L7" s="135"/>
      <c r="M7" s="135"/>
      <c r="N7" s="135"/>
      <c r="O7" s="135"/>
      <c r="P7" s="135"/>
      <c r="Q7" s="135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v>1983</v>
      </c>
      <c r="K8" s="135"/>
      <c r="L8" s="135"/>
      <c r="M8" s="135"/>
      <c r="N8" s="135"/>
      <c r="O8" s="135"/>
      <c r="P8" s="135"/>
      <c r="Q8" s="135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1983</v>
      </c>
      <c r="K9" s="135"/>
      <c r="L9" s="135"/>
      <c r="M9" s="135"/>
      <c r="N9" s="135"/>
      <c r="O9" s="135"/>
      <c r="P9" s="135"/>
      <c r="Q9" s="135"/>
    </row>
    <row r="10" spans="1:27" x14ac:dyDescent="0.2">
      <c r="A10" s="82" t="s">
        <v>19</v>
      </c>
      <c r="B10" s="104">
        <f t="shared" si="0"/>
        <v>0</v>
      </c>
      <c r="C10" s="84"/>
      <c r="D10" s="84"/>
      <c r="E10" s="84"/>
      <c r="F10" s="104">
        <f t="shared" si="1"/>
        <v>0</v>
      </c>
      <c r="G10" s="84"/>
      <c r="H10" s="84"/>
      <c r="I10" s="84"/>
      <c r="J10" s="22">
        <v>1983</v>
      </c>
      <c r="K10" s="135"/>
      <c r="L10" s="135"/>
      <c r="M10" s="135"/>
      <c r="N10" s="22">
        <v>1181</v>
      </c>
      <c r="O10" s="135"/>
      <c r="P10" s="135"/>
      <c r="Q10" s="135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1983</v>
      </c>
      <c r="K11" s="135"/>
      <c r="L11" s="135"/>
      <c r="M11" s="135"/>
      <c r="N11" s="22">
        <v>1181</v>
      </c>
      <c r="O11" s="135"/>
      <c r="P11" s="135"/>
      <c r="Q11" s="135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1983</v>
      </c>
      <c r="K12" s="135"/>
      <c r="L12" s="135"/>
      <c r="M12" s="135"/>
      <c r="N12" s="22">
        <v>1181</v>
      </c>
      <c r="O12" s="135"/>
      <c r="P12" s="135"/>
      <c r="Q12" s="135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1983</v>
      </c>
      <c r="K13" s="135"/>
      <c r="L13" s="135"/>
      <c r="M13" s="135"/>
      <c r="N13" s="22">
        <v>1181</v>
      </c>
      <c r="O13" s="135"/>
      <c r="P13" s="135"/>
      <c r="Q13" s="135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v>1983</v>
      </c>
      <c r="K14" s="135"/>
      <c r="L14" s="135"/>
      <c r="M14" s="135"/>
      <c r="N14" s="22">
        <v>1181</v>
      </c>
      <c r="O14" s="135"/>
      <c r="P14" s="135"/>
      <c r="Q14" s="135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v>1982</v>
      </c>
      <c r="K15" s="135"/>
      <c r="L15" s="135"/>
      <c r="M15" s="135"/>
      <c r="N15" s="22">
        <v>1184</v>
      </c>
      <c r="O15" s="135"/>
      <c r="P15" s="135"/>
      <c r="Q15" s="135"/>
    </row>
    <row r="16" spans="1:27" x14ac:dyDescent="0.2">
      <c r="A16" s="1" t="s">
        <v>6</v>
      </c>
      <c r="B16" s="22">
        <f>SUM(B4:B15)</f>
        <v>0</v>
      </c>
      <c r="C16" s="22">
        <f>SUM(C4:C15)</f>
        <v>0</v>
      </c>
      <c r="D16" s="22">
        <f>SUM(D4:D15)</f>
        <v>0</v>
      </c>
      <c r="E16" s="22"/>
      <c r="F16" s="22">
        <f>SUM(F4:F15)</f>
        <v>0</v>
      </c>
      <c r="G16" s="22">
        <f>SUM(G4:G15)</f>
        <v>0</v>
      </c>
      <c r="H16" s="22">
        <f>SUM(H4:H15)</f>
        <v>0</v>
      </c>
      <c r="I16" s="22"/>
      <c r="J16" s="22">
        <f t="shared" ref="J16:Q16" si="2">SUM(J4:J15)</f>
        <v>23795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si="2"/>
        <v>7089</v>
      </c>
      <c r="O16" s="22">
        <f t="shared" si="2"/>
        <v>0</v>
      </c>
      <c r="P16" s="22">
        <f t="shared" si="2"/>
        <v>0</v>
      </c>
      <c r="Q16" s="22">
        <f t="shared" si="2"/>
        <v>0</v>
      </c>
    </row>
    <row r="17" spans="1:17" x14ac:dyDescent="0.2">
      <c r="A17" s="28" t="s">
        <v>28</v>
      </c>
      <c r="B17" s="30">
        <f>B4+B5</f>
        <v>0</v>
      </c>
      <c r="C17" s="30">
        <f>C4+C5</f>
        <v>0</v>
      </c>
      <c r="D17" s="30">
        <f>D4+D5</f>
        <v>0</v>
      </c>
      <c r="E17" s="30"/>
      <c r="F17" s="30">
        <f>F4+F5</f>
        <v>0</v>
      </c>
      <c r="G17" s="30">
        <f>G4+G5</f>
        <v>0</v>
      </c>
      <c r="H17" s="30">
        <f>H4+H5</f>
        <v>0</v>
      </c>
      <c r="I17" s="30"/>
      <c r="J17" s="30">
        <f t="shared" ref="J17:Q17" si="3">J4+J5</f>
        <v>3966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30">
        <f t="shared" si="3"/>
        <v>0</v>
      </c>
      <c r="O17" s="30">
        <f t="shared" si="3"/>
        <v>0</v>
      </c>
      <c r="P17" s="30">
        <f t="shared" si="3"/>
        <v>0</v>
      </c>
      <c r="Q17" s="30">
        <f t="shared" si="3"/>
        <v>0</v>
      </c>
    </row>
    <row r="18" spans="1:17" x14ac:dyDescent="0.2">
      <c r="A18" s="28"/>
      <c r="B18" s="30">
        <f t="shared" ref="B18:B27" si="4">B17+B6</f>
        <v>0</v>
      </c>
      <c r="C18" s="30">
        <f t="shared" ref="C18:C27" si="5">C17+C6</f>
        <v>0</v>
      </c>
      <c r="D18" s="30">
        <f t="shared" ref="D18:D27" si="6">D17+D6</f>
        <v>0</v>
      </c>
      <c r="E18" s="30"/>
      <c r="F18" s="30">
        <f t="shared" ref="F18:F27" si="7">F17+F6</f>
        <v>0</v>
      </c>
      <c r="G18" s="30">
        <f t="shared" ref="G18:G27" si="8">G17+G6</f>
        <v>0</v>
      </c>
      <c r="H18" s="30">
        <f t="shared" ref="H18:H27" si="9">H17+H6</f>
        <v>0</v>
      </c>
      <c r="I18" s="30"/>
      <c r="J18" s="30">
        <f t="shared" ref="J18:J27" si="10">J17+J6</f>
        <v>5949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0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</row>
    <row r="19" spans="1:17" x14ac:dyDescent="0.2">
      <c r="A19" s="28" t="s">
        <v>29</v>
      </c>
      <c r="B19" s="30">
        <f t="shared" si="4"/>
        <v>0</v>
      </c>
      <c r="C19" s="30">
        <f t="shared" si="5"/>
        <v>0</v>
      </c>
      <c r="D19" s="30">
        <f t="shared" si="6"/>
        <v>0</v>
      </c>
      <c r="E19" s="30"/>
      <c r="F19" s="30">
        <f t="shared" si="7"/>
        <v>0</v>
      </c>
      <c r="G19" s="30">
        <f t="shared" si="8"/>
        <v>0</v>
      </c>
      <c r="H19" s="30">
        <f t="shared" si="9"/>
        <v>0</v>
      </c>
      <c r="I19" s="30"/>
      <c r="J19" s="30">
        <f t="shared" si="10"/>
        <v>7932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0</v>
      </c>
      <c r="O19" s="30">
        <f t="shared" si="14"/>
        <v>0</v>
      </c>
      <c r="P19" s="30">
        <f t="shared" si="15"/>
        <v>0</v>
      </c>
      <c r="Q19" s="30">
        <f t="shared" si="16"/>
        <v>0</v>
      </c>
    </row>
    <row r="20" spans="1:17" x14ac:dyDescent="0.2">
      <c r="A20" s="28" t="s">
        <v>30</v>
      </c>
      <c r="B20" s="30">
        <f t="shared" si="4"/>
        <v>0</v>
      </c>
      <c r="C20" s="30">
        <f t="shared" si="5"/>
        <v>0</v>
      </c>
      <c r="D20" s="30">
        <f t="shared" si="6"/>
        <v>0</v>
      </c>
      <c r="E20" s="30"/>
      <c r="F20" s="30">
        <f t="shared" si="7"/>
        <v>0</v>
      </c>
      <c r="G20" s="30">
        <f t="shared" si="8"/>
        <v>0</v>
      </c>
      <c r="H20" s="30">
        <f t="shared" si="9"/>
        <v>0</v>
      </c>
      <c r="I20" s="30"/>
      <c r="J20" s="30">
        <f t="shared" si="10"/>
        <v>9915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0</v>
      </c>
      <c r="O20" s="30">
        <f t="shared" si="14"/>
        <v>0</v>
      </c>
      <c r="P20" s="30">
        <f t="shared" si="15"/>
        <v>0</v>
      </c>
      <c r="Q20" s="30">
        <f t="shared" si="16"/>
        <v>0</v>
      </c>
    </row>
    <row r="21" spans="1:17" x14ac:dyDescent="0.2">
      <c r="A21" s="28" t="s">
        <v>31</v>
      </c>
      <c r="B21" s="30">
        <f t="shared" si="4"/>
        <v>0</v>
      </c>
      <c r="C21" s="30">
        <f t="shared" si="5"/>
        <v>0</v>
      </c>
      <c r="D21" s="30">
        <f t="shared" si="6"/>
        <v>0</v>
      </c>
      <c r="E21" s="30"/>
      <c r="F21" s="30">
        <f t="shared" si="7"/>
        <v>0</v>
      </c>
      <c r="G21" s="30">
        <f t="shared" si="8"/>
        <v>0</v>
      </c>
      <c r="H21" s="30">
        <f t="shared" si="9"/>
        <v>0</v>
      </c>
      <c r="I21" s="30"/>
      <c r="J21" s="30">
        <f t="shared" si="10"/>
        <v>11898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0</v>
      </c>
      <c r="O21" s="30">
        <f t="shared" si="14"/>
        <v>0</v>
      </c>
      <c r="P21" s="30">
        <f t="shared" si="15"/>
        <v>0</v>
      </c>
      <c r="Q21" s="30">
        <f t="shared" si="16"/>
        <v>0</v>
      </c>
    </row>
    <row r="22" spans="1:17" x14ac:dyDescent="0.2">
      <c r="A22" s="28" t="s">
        <v>32</v>
      </c>
      <c r="B22" s="30">
        <f t="shared" si="4"/>
        <v>0</v>
      </c>
      <c r="C22" s="30">
        <f t="shared" si="5"/>
        <v>0</v>
      </c>
      <c r="D22" s="30">
        <f t="shared" si="6"/>
        <v>0</v>
      </c>
      <c r="E22" s="30"/>
      <c r="F22" s="30">
        <f t="shared" si="7"/>
        <v>0</v>
      </c>
      <c r="G22" s="30">
        <f t="shared" si="8"/>
        <v>0</v>
      </c>
      <c r="H22" s="30">
        <f t="shared" si="9"/>
        <v>0</v>
      </c>
      <c r="I22" s="30"/>
      <c r="J22" s="30">
        <f t="shared" si="10"/>
        <v>13881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1181</v>
      </c>
      <c r="O22" s="30">
        <f t="shared" si="14"/>
        <v>0</v>
      </c>
      <c r="P22" s="30">
        <f t="shared" si="15"/>
        <v>0</v>
      </c>
      <c r="Q22" s="30">
        <f t="shared" si="16"/>
        <v>0</v>
      </c>
    </row>
    <row r="23" spans="1:17" x14ac:dyDescent="0.2">
      <c r="A23" s="28" t="s">
        <v>33</v>
      </c>
      <c r="B23" s="30">
        <f t="shared" si="4"/>
        <v>0</v>
      </c>
      <c r="C23" s="30">
        <f t="shared" si="5"/>
        <v>0</v>
      </c>
      <c r="D23" s="30">
        <f t="shared" si="6"/>
        <v>0</v>
      </c>
      <c r="E23" s="30"/>
      <c r="F23" s="30">
        <f t="shared" si="7"/>
        <v>0</v>
      </c>
      <c r="G23" s="30">
        <f t="shared" si="8"/>
        <v>0</v>
      </c>
      <c r="H23" s="30">
        <f t="shared" si="9"/>
        <v>0</v>
      </c>
      <c r="I23" s="30"/>
      <c r="J23" s="30">
        <f t="shared" si="10"/>
        <v>15864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2362</v>
      </c>
      <c r="O23" s="30">
        <f t="shared" si="14"/>
        <v>0</v>
      </c>
      <c r="P23" s="30">
        <f t="shared" si="15"/>
        <v>0</v>
      </c>
      <c r="Q23" s="30">
        <f t="shared" si="16"/>
        <v>0</v>
      </c>
    </row>
    <row r="24" spans="1:17" x14ac:dyDescent="0.2">
      <c r="A24" s="28" t="s">
        <v>34</v>
      </c>
      <c r="B24" s="30">
        <f t="shared" si="4"/>
        <v>0</v>
      </c>
      <c r="C24" s="30">
        <f t="shared" si="5"/>
        <v>0</v>
      </c>
      <c r="D24" s="30">
        <f t="shared" si="6"/>
        <v>0</v>
      </c>
      <c r="E24" s="30"/>
      <c r="F24" s="30">
        <f t="shared" si="7"/>
        <v>0</v>
      </c>
      <c r="G24" s="30">
        <f t="shared" si="8"/>
        <v>0</v>
      </c>
      <c r="H24" s="30">
        <f t="shared" si="9"/>
        <v>0</v>
      </c>
      <c r="I24" s="30"/>
      <c r="J24" s="30">
        <f t="shared" si="10"/>
        <v>17847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3543</v>
      </c>
      <c r="O24" s="30">
        <f t="shared" si="14"/>
        <v>0</v>
      </c>
      <c r="P24" s="30">
        <f t="shared" si="15"/>
        <v>0</v>
      </c>
      <c r="Q24" s="30">
        <f t="shared" si="16"/>
        <v>0</v>
      </c>
    </row>
    <row r="25" spans="1:17" x14ac:dyDescent="0.2">
      <c r="A25" s="29" t="s">
        <v>35</v>
      </c>
      <c r="B25" s="31">
        <f t="shared" si="4"/>
        <v>0</v>
      </c>
      <c r="C25" s="31">
        <f t="shared" si="5"/>
        <v>0</v>
      </c>
      <c r="D25" s="31">
        <f t="shared" si="6"/>
        <v>0</v>
      </c>
      <c r="E25" s="31"/>
      <c r="F25" s="31">
        <f t="shared" si="7"/>
        <v>0</v>
      </c>
      <c r="G25" s="31">
        <f t="shared" si="8"/>
        <v>0</v>
      </c>
      <c r="H25" s="31">
        <f t="shared" si="9"/>
        <v>0</v>
      </c>
      <c r="I25" s="31"/>
      <c r="J25" s="31">
        <f t="shared" si="10"/>
        <v>19830</v>
      </c>
      <c r="K25" s="31">
        <f t="shared" si="11"/>
        <v>0</v>
      </c>
      <c r="L25" s="31">
        <f t="shared" si="12"/>
        <v>0</v>
      </c>
      <c r="M25" s="31">
        <f t="shared" si="12"/>
        <v>0</v>
      </c>
      <c r="N25" s="31">
        <f t="shared" si="13"/>
        <v>4724</v>
      </c>
      <c r="O25" s="31">
        <f t="shared" si="14"/>
        <v>0</v>
      </c>
      <c r="P25" s="31">
        <f t="shared" si="15"/>
        <v>0</v>
      </c>
      <c r="Q25" s="31">
        <f t="shared" si="16"/>
        <v>0</v>
      </c>
    </row>
    <row r="26" spans="1:17" x14ac:dyDescent="0.2">
      <c r="A26" s="29" t="s">
        <v>36</v>
      </c>
      <c r="B26" s="31">
        <f t="shared" si="4"/>
        <v>0</v>
      </c>
      <c r="C26" s="31">
        <f t="shared" si="5"/>
        <v>0</v>
      </c>
      <c r="D26" s="31">
        <f t="shared" si="6"/>
        <v>0</v>
      </c>
      <c r="E26" s="31"/>
      <c r="F26" s="31">
        <f t="shared" si="7"/>
        <v>0</v>
      </c>
      <c r="G26" s="31">
        <f t="shared" si="8"/>
        <v>0</v>
      </c>
      <c r="H26" s="31">
        <f t="shared" si="9"/>
        <v>0</v>
      </c>
      <c r="I26" s="31"/>
      <c r="J26" s="31">
        <f t="shared" si="10"/>
        <v>21813</v>
      </c>
      <c r="K26" s="31">
        <f t="shared" si="11"/>
        <v>0</v>
      </c>
      <c r="L26" s="31">
        <f t="shared" si="12"/>
        <v>0</v>
      </c>
      <c r="M26" s="31">
        <f t="shared" si="12"/>
        <v>0</v>
      </c>
      <c r="N26" s="31">
        <f t="shared" si="13"/>
        <v>5905</v>
      </c>
      <c r="O26" s="31">
        <f t="shared" si="14"/>
        <v>0</v>
      </c>
      <c r="P26" s="31">
        <f t="shared" si="15"/>
        <v>0</v>
      </c>
      <c r="Q26" s="31">
        <f t="shared" si="16"/>
        <v>0</v>
      </c>
    </row>
    <row r="27" spans="1:17" x14ac:dyDescent="0.2">
      <c r="A27" s="12" t="s">
        <v>15</v>
      </c>
      <c r="B27" s="32">
        <f t="shared" si="4"/>
        <v>0</v>
      </c>
      <c r="C27" s="32">
        <f t="shared" si="5"/>
        <v>0</v>
      </c>
      <c r="D27" s="32">
        <f t="shared" si="6"/>
        <v>0</v>
      </c>
      <c r="E27" s="32"/>
      <c r="F27" s="32">
        <f t="shared" si="7"/>
        <v>0</v>
      </c>
      <c r="G27" s="32">
        <f t="shared" si="8"/>
        <v>0</v>
      </c>
      <c r="H27" s="32">
        <f t="shared" si="9"/>
        <v>0</v>
      </c>
      <c r="I27" s="32"/>
      <c r="J27" s="32">
        <f t="shared" si="10"/>
        <v>23795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7089</v>
      </c>
      <c r="O27" s="32">
        <f t="shared" si="14"/>
        <v>0</v>
      </c>
      <c r="P27" s="32">
        <f t="shared" si="15"/>
        <v>0</v>
      </c>
      <c r="Q27" s="32">
        <f t="shared" si="16"/>
        <v>0</v>
      </c>
    </row>
  </sheetData>
  <mergeCells count="8">
    <mergeCell ref="O1:Q1"/>
    <mergeCell ref="O2:Q2"/>
    <mergeCell ref="K2:M2"/>
    <mergeCell ref="K1:M1"/>
    <mergeCell ref="C2:D2"/>
    <mergeCell ref="G2:H2"/>
    <mergeCell ref="B1:D1"/>
    <mergeCell ref="F1:H1"/>
  </mergeCells>
  <phoneticPr fontId="0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I1" workbookViewId="0">
      <selection activeCell="J18" sqref="J18"/>
    </sheetView>
  </sheetViews>
  <sheetFormatPr defaultRowHeight="12.75" x14ac:dyDescent="0.2"/>
  <cols>
    <col min="1" max="1" width="12.28515625" customWidth="1"/>
    <col min="7" max="7" width="11" customWidth="1"/>
    <col min="8" max="9" width="9" customWidth="1"/>
  </cols>
  <sheetData>
    <row r="1" spans="1:29" x14ac:dyDescent="0.2">
      <c r="A1" s="2" t="s">
        <v>23</v>
      </c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3435</v>
      </c>
      <c r="C4" s="22"/>
      <c r="D4" s="22"/>
      <c r="E4" s="22"/>
      <c r="F4" s="22">
        <v>1664</v>
      </c>
      <c r="G4" s="22"/>
      <c r="H4" s="22"/>
      <c r="I4" s="125"/>
      <c r="J4" s="22">
        <v>4117</v>
      </c>
      <c r="K4" s="22"/>
      <c r="L4" s="22"/>
      <c r="M4" s="22"/>
      <c r="N4" s="22">
        <v>4964</v>
      </c>
      <c r="O4" s="22"/>
      <c r="P4" s="22"/>
      <c r="Q4" s="22"/>
      <c r="R4" s="22">
        <v>981</v>
      </c>
      <c r="S4" s="22"/>
      <c r="T4" s="22"/>
      <c r="U4" s="22"/>
      <c r="V4" s="22">
        <v>916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3439</v>
      </c>
      <c r="C5" s="22"/>
      <c r="D5" s="22"/>
      <c r="E5" s="22"/>
      <c r="F5" s="22">
        <v>1664</v>
      </c>
      <c r="G5" s="22"/>
      <c r="H5" s="22"/>
      <c r="I5" s="125"/>
      <c r="J5" s="22">
        <v>4118</v>
      </c>
      <c r="K5" s="22"/>
      <c r="L5" s="22"/>
      <c r="M5" s="22"/>
      <c r="N5" s="22">
        <v>4965</v>
      </c>
      <c r="O5" s="22"/>
      <c r="P5" s="22"/>
      <c r="Q5" s="22"/>
      <c r="R5" s="22">
        <v>981</v>
      </c>
      <c r="S5" s="22"/>
      <c r="T5" s="22"/>
      <c r="U5" s="22"/>
      <c r="V5" s="22">
        <v>916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3440</v>
      </c>
      <c r="C6" s="22"/>
      <c r="D6" s="22"/>
      <c r="E6" s="22"/>
      <c r="F6" s="22">
        <v>1664</v>
      </c>
      <c r="G6" s="22"/>
      <c r="H6" s="22"/>
      <c r="I6" s="125"/>
      <c r="J6" s="22">
        <v>4120</v>
      </c>
      <c r="K6" s="22"/>
      <c r="L6" s="22"/>
      <c r="M6" s="22"/>
      <c r="N6" s="22">
        <v>4967</v>
      </c>
      <c r="O6" s="22"/>
      <c r="P6" s="22"/>
      <c r="Q6" s="22"/>
      <c r="R6" s="22">
        <v>981</v>
      </c>
      <c r="S6" s="22"/>
      <c r="T6" s="22"/>
      <c r="U6" s="22"/>
      <c r="V6" s="22">
        <v>916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3440</v>
      </c>
      <c r="C7" s="22"/>
      <c r="D7" s="22"/>
      <c r="E7" s="22"/>
      <c r="F7" s="22">
        <v>1664</v>
      </c>
      <c r="G7" s="22"/>
      <c r="H7" s="22"/>
      <c r="I7" s="125"/>
      <c r="J7" s="22">
        <v>4124</v>
      </c>
      <c r="K7" s="22"/>
      <c r="L7" s="22"/>
      <c r="M7" s="22"/>
      <c r="N7" s="22">
        <v>4968</v>
      </c>
      <c r="O7" s="22"/>
      <c r="P7" s="22"/>
      <c r="Q7" s="22"/>
      <c r="R7" s="22">
        <v>981</v>
      </c>
      <c r="S7" s="22"/>
      <c r="T7" s="22"/>
      <c r="U7" s="22"/>
      <c r="V7" s="22">
        <v>916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3440</v>
      </c>
      <c r="C8" s="22"/>
      <c r="D8" s="22"/>
      <c r="E8" s="22"/>
      <c r="F8" s="22">
        <v>1665</v>
      </c>
      <c r="G8" s="22"/>
      <c r="H8" s="22"/>
      <c r="I8" s="125"/>
      <c r="J8" s="22">
        <v>4125</v>
      </c>
      <c r="K8" s="22"/>
      <c r="L8" s="22"/>
      <c r="M8" s="22"/>
      <c r="N8" s="22">
        <v>4968</v>
      </c>
      <c r="O8" s="22"/>
      <c r="P8" s="22"/>
      <c r="Q8" s="22"/>
      <c r="R8" s="22">
        <v>981</v>
      </c>
      <c r="S8" s="22"/>
      <c r="T8" s="22"/>
      <c r="U8" s="22"/>
      <c r="V8" s="22">
        <v>917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3440</v>
      </c>
      <c r="C9" s="22"/>
      <c r="D9" s="22"/>
      <c r="E9" s="22"/>
      <c r="F9" s="22">
        <v>1665</v>
      </c>
      <c r="G9" s="22"/>
      <c r="H9" s="22"/>
      <c r="I9" s="125"/>
      <c r="J9" s="22">
        <v>4125</v>
      </c>
      <c r="K9" s="22"/>
      <c r="L9" s="22"/>
      <c r="M9" s="22"/>
      <c r="N9" s="22">
        <v>4969</v>
      </c>
      <c r="O9" s="22"/>
      <c r="P9" s="22"/>
      <c r="Q9" s="22"/>
      <c r="R9" s="22">
        <v>981</v>
      </c>
      <c r="S9" s="22"/>
      <c r="T9" s="22"/>
      <c r="U9" s="22"/>
      <c r="V9" s="22">
        <v>917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3441</v>
      </c>
      <c r="C10" s="22"/>
      <c r="D10" s="22"/>
      <c r="E10" s="22"/>
      <c r="F10" s="22">
        <v>1665</v>
      </c>
      <c r="G10" s="22"/>
      <c r="H10" s="22"/>
      <c r="I10" s="125"/>
      <c r="J10" s="22">
        <v>25540</v>
      </c>
      <c r="K10" s="22"/>
      <c r="L10" s="22"/>
      <c r="M10" s="22"/>
      <c r="N10" s="22">
        <v>4667</v>
      </c>
      <c r="O10" s="22"/>
      <c r="P10" s="22"/>
      <c r="Q10" s="22"/>
      <c r="R10" s="22">
        <v>914</v>
      </c>
      <c r="S10" s="22"/>
      <c r="T10" s="22"/>
      <c r="U10" s="22"/>
      <c r="V10" s="22">
        <f t="shared" ref="V10:V15" si="0">641+276</f>
        <v>917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3442</v>
      </c>
      <c r="C11" s="22"/>
      <c r="D11" s="22"/>
      <c r="E11" s="22"/>
      <c r="F11" s="22">
        <v>1665</v>
      </c>
      <c r="G11" s="22"/>
      <c r="H11" s="22"/>
      <c r="I11" s="125"/>
      <c r="J11" s="22">
        <v>25542</v>
      </c>
      <c r="K11" s="22"/>
      <c r="L11" s="22"/>
      <c r="M11" s="22"/>
      <c r="N11" s="22">
        <v>4666</v>
      </c>
      <c r="O11" s="22"/>
      <c r="P11" s="22"/>
      <c r="Q11" s="22"/>
      <c r="R11" s="22">
        <v>913</v>
      </c>
      <c r="S11" s="22"/>
      <c r="T11" s="22"/>
      <c r="U11" s="22"/>
      <c r="V11" s="22">
        <f t="shared" si="0"/>
        <v>917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3443</v>
      </c>
      <c r="C12" s="22"/>
      <c r="D12" s="22"/>
      <c r="E12" s="22"/>
      <c r="F12" s="22">
        <v>1671</v>
      </c>
      <c r="G12" s="22"/>
      <c r="H12" s="22"/>
      <c r="I12" s="125"/>
      <c r="J12" s="22">
        <v>7655</v>
      </c>
      <c r="K12" s="22"/>
      <c r="L12" s="22"/>
      <c r="M12" s="22"/>
      <c r="N12" s="22">
        <v>4663</v>
      </c>
      <c r="O12" s="22"/>
      <c r="P12" s="22"/>
      <c r="Q12" s="22"/>
      <c r="R12" s="22">
        <v>913</v>
      </c>
      <c r="S12" s="22"/>
      <c r="T12" s="22"/>
      <c r="U12" s="22"/>
      <c r="V12" s="22">
        <f t="shared" si="0"/>
        <v>917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3444</v>
      </c>
      <c r="C13" s="22"/>
      <c r="D13" s="22"/>
      <c r="E13" s="22"/>
      <c r="F13" s="22">
        <v>1671</v>
      </c>
      <c r="G13" s="22"/>
      <c r="H13" s="22"/>
      <c r="I13" s="125"/>
      <c r="J13" s="22">
        <v>7652</v>
      </c>
      <c r="K13" s="22"/>
      <c r="L13" s="22"/>
      <c r="M13" s="22"/>
      <c r="N13" s="22">
        <v>4660</v>
      </c>
      <c r="O13" s="22"/>
      <c r="P13" s="22"/>
      <c r="Q13" s="22"/>
      <c r="R13" s="22">
        <v>913</v>
      </c>
      <c r="S13" s="22"/>
      <c r="T13" s="22"/>
      <c r="U13" s="22"/>
      <c r="V13" s="22">
        <f t="shared" si="0"/>
        <v>917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3448</v>
      </c>
      <c r="C14" s="22"/>
      <c r="D14" s="22"/>
      <c r="E14" s="22"/>
      <c r="F14" s="22">
        <v>1671</v>
      </c>
      <c r="G14" s="22"/>
      <c r="H14" s="22"/>
      <c r="I14" s="125"/>
      <c r="J14" s="22">
        <v>7646</v>
      </c>
      <c r="K14" s="22"/>
      <c r="L14" s="22"/>
      <c r="M14" s="22"/>
      <c r="N14" s="22">
        <v>4658</v>
      </c>
      <c r="O14" s="22"/>
      <c r="P14" s="22"/>
      <c r="Q14" s="22"/>
      <c r="R14" s="22">
        <v>913</v>
      </c>
      <c r="S14" s="22"/>
      <c r="T14" s="22"/>
      <c r="U14" s="22"/>
      <c r="V14" s="22">
        <f t="shared" si="0"/>
        <v>917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3448</v>
      </c>
      <c r="C15" s="22"/>
      <c r="D15" s="22"/>
      <c r="E15" s="22"/>
      <c r="F15" s="22">
        <v>1671</v>
      </c>
      <c r="G15" s="22"/>
      <c r="H15" s="22"/>
      <c r="I15" s="125"/>
      <c r="J15" s="22">
        <v>7644</v>
      </c>
      <c r="K15" s="22"/>
      <c r="L15" s="22"/>
      <c r="M15" s="22"/>
      <c r="N15" s="22">
        <v>4655</v>
      </c>
      <c r="O15" s="22"/>
      <c r="P15" s="22"/>
      <c r="Q15" s="22"/>
      <c r="R15" s="22">
        <v>913</v>
      </c>
      <c r="S15" s="22"/>
      <c r="T15" s="22"/>
      <c r="U15" s="22"/>
      <c r="V15" s="22">
        <f t="shared" si="0"/>
        <v>917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41300</v>
      </c>
      <c r="C16" s="22">
        <f t="shared" ref="C16:AC16" si="1">SUM(C4:C15)</f>
        <v>0</v>
      </c>
      <c r="D16" s="22">
        <f t="shared" si="1"/>
        <v>0</v>
      </c>
      <c r="E16" s="22">
        <f t="shared" si="1"/>
        <v>0</v>
      </c>
      <c r="F16" s="22">
        <f t="shared" si="1"/>
        <v>20000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106408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57770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11365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11000</v>
      </c>
      <c r="W16" s="22">
        <f t="shared" si="1"/>
        <v>0</v>
      </c>
      <c r="X16" s="22">
        <f t="shared" si="1"/>
        <v>0</v>
      </c>
      <c r="Y16" s="22">
        <f t="shared" si="1"/>
        <v>0</v>
      </c>
      <c r="Z16" s="22">
        <f t="shared" si="1"/>
        <v>0</v>
      </c>
      <c r="AA16" s="22">
        <f t="shared" si="1"/>
        <v>0</v>
      </c>
      <c r="AB16" s="22">
        <f t="shared" si="1"/>
        <v>0</v>
      </c>
      <c r="AC16" s="22">
        <f t="shared" si="1"/>
        <v>0</v>
      </c>
    </row>
    <row r="17" spans="1:29" x14ac:dyDescent="0.2">
      <c r="A17" s="28" t="s">
        <v>28</v>
      </c>
      <c r="B17" s="30">
        <f>B4+B5</f>
        <v>6874</v>
      </c>
      <c r="C17" s="30">
        <f t="shared" ref="C17:AC17" si="2">C4+C5</f>
        <v>0</v>
      </c>
      <c r="D17" s="30">
        <f t="shared" si="2"/>
        <v>0</v>
      </c>
      <c r="E17" s="30">
        <f>E4+E5</f>
        <v>0</v>
      </c>
      <c r="F17" s="30">
        <f t="shared" si="2"/>
        <v>3328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8235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9929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0">
        <f t="shared" si="2"/>
        <v>1962</v>
      </c>
      <c r="S17" s="30">
        <f t="shared" si="2"/>
        <v>0</v>
      </c>
      <c r="T17" s="30">
        <f t="shared" si="2"/>
        <v>0</v>
      </c>
      <c r="U17" s="30">
        <f t="shared" si="2"/>
        <v>0</v>
      </c>
      <c r="V17" s="30">
        <f>V4+V5</f>
        <v>1832</v>
      </c>
      <c r="W17" s="30">
        <f t="shared" si="2"/>
        <v>0</v>
      </c>
      <c r="X17" s="30">
        <f t="shared" si="2"/>
        <v>0</v>
      </c>
      <c r="Y17" s="30">
        <f t="shared" si="2"/>
        <v>0</v>
      </c>
      <c r="Z17" s="30">
        <f t="shared" si="2"/>
        <v>0</v>
      </c>
      <c r="AA17" s="30">
        <f t="shared" si="2"/>
        <v>0</v>
      </c>
      <c r="AB17" s="30">
        <f t="shared" si="2"/>
        <v>0</v>
      </c>
      <c r="AC17" s="30">
        <f t="shared" si="2"/>
        <v>0</v>
      </c>
    </row>
    <row r="18" spans="1:29" x14ac:dyDescent="0.2">
      <c r="A18" s="28" t="s">
        <v>96</v>
      </c>
      <c r="B18" s="30">
        <f t="shared" ref="B18:AC27" si="3">B17+B6</f>
        <v>10314</v>
      </c>
      <c r="C18" s="30">
        <f t="shared" si="3"/>
        <v>0</v>
      </c>
      <c r="D18" s="30">
        <f t="shared" si="3"/>
        <v>0</v>
      </c>
      <c r="E18" s="30">
        <f t="shared" si="3"/>
        <v>0</v>
      </c>
      <c r="F18" s="30">
        <f t="shared" si="3"/>
        <v>4992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12355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14896</v>
      </c>
      <c r="O18" s="30">
        <f t="shared" si="3"/>
        <v>0</v>
      </c>
      <c r="P18" s="30">
        <f t="shared" si="3"/>
        <v>0</v>
      </c>
      <c r="Q18" s="30">
        <f t="shared" si="3"/>
        <v>0</v>
      </c>
      <c r="R18" s="30">
        <f t="shared" si="3"/>
        <v>2943</v>
      </c>
      <c r="S18" s="30">
        <f t="shared" si="3"/>
        <v>0</v>
      </c>
      <c r="T18" s="30">
        <f t="shared" si="3"/>
        <v>0</v>
      </c>
      <c r="U18" s="30">
        <f t="shared" si="3"/>
        <v>0</v>
      </c>
      <c r="V18" s="30">
        <f t="shared" ref="V18:V26" si="4">V17+V6</f>
        <v>2748</v>
      </c>
      <c r="W18" s="30">
        <f t="shared" si="3"/>
        <v>0</v>
      </c>
      <c r="X18" s="30">
        <f t="shared" si="3"/>
        <v>0</v>
      </c>
      <c r="Y18" s="30">
        <f t="shared" si="3"/>
        <v>0</v>
      </c>
      <c r="Z18" s="30">
        <f t="shared" si="3"/>
        <v>0</v>
      </c>
      <c r="AA18" s="30">
        <f t="shared" si="3"/>
        <v>0</v>
      </c>
      <c r="AB18" s="30">
        <f t="shared" si="3"/>
        <v>0</v>
      </c>
      <c r="AC18" s="30">
        <f t="shared" si="3"/>
        <v>0</v>
      </c>
    </row>
    <row r="19" spans="1:29" x14ac:dyDescent="0.2">
      <c r="A19" s="28" t="s">
        <v>29</v>
      </c>
      <c r="B19" s="30">
        <f t="shared" si="3"/>
        <v>13754</v>
      </c>
      <c r="C19" s="30">
        <f t="shared" si="3"/>
        <v>0</v>
      </c>
      <c r="D19" s="30">
        <f t="shared" si="3"/>
        <v>0</v>
      </c>
      <c r="E19" s="30">
        <f t="shared" si="3"/>
        <v>0</v>
      </c>
      <c r="F19" s="30">
        <f t="shared" si="3"/>
        <v>6656</v>
      </c>
      <c r="G19" s="30">
        <f t="shared" si="3"/>
        <v>0</v>
      </c>
      <c r="H19" s="30">
        <f t="shared" si="3"/>
        <v>0</v>
      </c>
      <c r="I19" s="30">
        <f t="shared" si="3"/>
        <v>0</v>
      </c>
      <c r="J19" s="30">
        <f t="shared" si="3"/>
        <v>16479</v>
      </c>
      <c r="K19" s="30">
        <f t="shared" si="3"/>
        <v>0</v>
      </c>
      <c r="L19" s="30">
        <f t="shared" si="3"/>
        <v>0</v>
      </c>
      <c r="M19" s="30">
        <f t="shared" si="3"/>
        <v>0</v>
      </c>
      <c r="N19" s="30">
        <f t="shared" si="3"/>
        <v>19864</v>
      </c>
      <c r="O19" s="30">
        <f t="shared" si="3"/>
        <v>0</v>
      </c>
      <c r="P19" s="30">
        <f t="shared" si="3"/>
        <v>0</v>
      </c>
      <c r="Q19" s="30">
        <f t="shared" si="3"/>
        <v>0</v>
      </c>
      <c r="R19" s="30">
        <f t="shared" si="3"/>
        <v>3924</v>
      </c>
      <c r="S19" s="30">
        <f t="shared" si="3"/>
        <v>0</v>
      </c>
      <c r="T19" s="30">
        <f t="shared" si="3"/>
        <v>0</v>
      </c>
      <c r="U19" s="30">
        <f t="shared" si="3"/>
        <v>0</v>
      </c>
      <c r="V19" s="30">
        <f t="shared" si="4"/>
        <v>3664</v>
      </c>
      <c r="W19" s="30">
        <f t="shared" si="3"/>
        <v>0</v>
      </c>
      <c r="X19" s="30">
        <f t="shared" si="3"/>
        <v>0</v>
      </c>
      <c r="Y19" s="30">
        <f t="shared" si="3"/>
        <v>0</v>
      </c>
      <c r="Z19" s="30">
        <f t="shared" si="3"/>
        <v>0</v>
      </c>
      <c r="AA19" s="30">
        <f t="shared" si="3"/>
        <v>0</v>
      </c>
      <c r="AB19" s="30">
        <f t="shared" si="3"/>
        <v>0</v>
      </c>
      <c r="AC19" s="30">
        <f t="shared" si="3"/>
        <v>0</v>
      </c>
    </row>
    <row r="20" spans="1:29" x14ac:dyDescent="0.2">
      <c r="A20" s="28" t="s">
        <v>30</v>
      </c>
      <c r="B20" s="30">
        <f t="shared" si="3"/>
        <v>17194</v>
      </c>
      <c r="C20" s="30">
        <f t="shared" si="3"/>
        <v>0</v>
      </c>
      <c r="D20" s="30">
        <f t="shared" si="3"/>
        <v>0</v>
      </c>
      <c r="E20" s="30">
        <f t="shared" si="3"/>
        <v>0</v>
      </c>
      <c r="F20" s="30">
        <f t="shared" si="3"/>
        <v>8321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20604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24832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4905</v>
      </c>
      <c r="S20" s="30">
        <f t="shared" si="3"/>
        <v>0</v>
      </c>
      <c r="T20" s="30">
        <f t="shared" si="3"/>
        <v>0</v>
      </c>
      <c r="U20" s="30">
        <f t="shared" si="3"/>
        <v>0</v>
      </c>
      <c r="V20" s="30">
        <f t="shared" si="4"/>
        <v>4581</v>
      </c>
      <c r="W20" s="30">
        <f t="shared" si="3"/>
        <v>0</v>
      </c>
      <c r="X20" s="30">
        <f t="shared" si="3"/>
        <v>0</v>
      </c>
      <c r="Y20" s="30">
        <f t="shared" si="3"/>
        <v>0</v>
      </c>
      <c r="Z20" s="30">
        <f t="shared" si="3"/>
        <v>0</v>
      </c>
      <c r="AA20" s="30">
        <f t="shared" si="3"/>
        <v>0</v>
      </c>
      <c r="AB20" s="30">
        <f t="shared" si="3"/>
        <v>0</v>
      </c>
      <c r="AC20" s="30">
        <f t="shared" si="3"/>
        <v>0</v>
      </c>
    </row>
    <row r="21" spans="1:29" x14ac:dyDescent="0.2">
      <c r="A21" s="28" t="s">
        <v>31</v>
      </c>
      <c r="B21" s="30">
        <f t="shared" si="3"/>
        <v>20634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9986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24729</v>
      </c>
      <c r="K21" s="30">
        <f t="shared" si="3"/>
        <v>0</v>
      </c>
      <c r="L21" s="30">
        <f t="shared" si="3"/>
        <v>0</v>
      </c>
      <c r="M21" s="30">
        <f t="shared" si="3"/>
        <v>0</v>
      </c>
      <c r="N21" s="30">
        <f t="shared" si="3"/>
        <v>29801</v>
      </c>
      <c r="O21" s="30">
        <f t="shared" si="3"/>
        <v>0</v>
      </c>
      <c r="P21" s="30">
        <f t="shared" si="3"/>
        <v>0</v>
      </c>
      <c r="Q21" s="30">
        <f t="shared" si="3"/>
        <v>0</v>
      </c>
      <c r="R21" s="30">
        <f t="shared" si="3"/>
        <v>5886</v>
      </c>
      <c r="S21" s="30">
        <f t="shared" si="3"/>
        <v>0</v>
      </c>
      <c r="T21" s="30">
        <f t="shared" si="3"/>
        <v>0</v>
      </c>
      <c r="U21" s="30">
        <f t="shared" si="3"/>
        <v>0</v>
      </c>
      <c r="V21" s="30">
        <f t="shared" si="4"/>
        <v>5498</v>
      </c>
      <c r="W21" s="30">
        <f t="shared" si="3"/>
        <v>0</v>
      </c>
      <c r="X21" s="30">
        <f t="shared" si="3"/>
        <v>0</v>
      </c>
      <c r="Y21" s="30">
        <f t="shared" si="3"/>
        <v>0</v>
      </c>
      <c r="Z21" s="30">
        <f t="shared" si="3"/>
        <v>0</v>
      </c>
      <c r="AA21" s="30">
        <f t="shared" si="3"/>
        <v>0</v>
      </c>
      <c r="AB21" s="30">
        <f t="shared" si="3"/>
        <v>0</v>
      </c>
      <c r="AC21" s="30">
        <f t="shared" si="3"/>
        <v>0</v>
      </c>
    </row>
    <row r="22" spans="1:29" x14ac:dyDescent="0.2">
      <c r="A22" s="28" t="s">
        <v>32</v>
      </c>
      <c r="B22" s="30">
        <f t="shared" si="3"/>
        <v>24075</v>
      </c>
      <c r="C22" s="30">
        <f t="shared" si="3"/>
        <v>0</v>
      </c>
      <c r="D22" s="30">
        <f t="shared" si="3"/>
        <v>0</v>
      </c>
      <c r="E22" s="30">
        <f t="shared" si="3"/>
        <v>0</v>
      </c>
      <c r="F22" s="30">
        <f t="shared" si="3"/>
        <v>11651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50269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0">
        <f t="shared" si="3"/>
        <v>34468</v>
      </c>
      <c r="O22" s="30">
        <f t="shared" si="3"/>
        <v>0</v>
      </c>
      <c r="P22" s="30">
        <f t="shared" si="3"/>
        <v>0</v>
      </c>
      <c r="Q22" s="30">
        <f t="shared" si="3"/>
        <v>0</v>
      </c>
      <c r="R22" s="30">
        <f t="shared" si="3"/>
        <v>6800</v>
      </c>
      <c r="S22" s="30">
        <f t="shared" si="3"/>
        <v>0</v>
      </c>
      <c r="T22" s="30">
        <f t="shared" si="3"/>
        <v>0</v>
      </c>
      <c r="U22" s="30">
        <f t="shared" si="3"/>
        <v>0</v>
      </c>
      <c r="V22" s="30">
        <f t="shared" si="4"/>
        <v>6415</v>
      </c>
      <c r="W22" s="30">
        <f t="shared" si="3"/>
        <v>0</v>
      </c>
      <c r="X22" s="30">
        <f t="shared" si="3"/>
        <v>0</v>
      </c>
      <c r="Y22" s="30">
        <f t="shared" si="3"/>
        <v>0</v>
      </c>
      <c r="Z22" s="30">
        <f t="shared" si="3"/>
        <v>0</v>
      </c>
      <c r="AA22" s="30">
        <f t="shared" si="3"/>
        <v>0</v>
      </c>
      <c r="AB22" s="30">
        <f t="shared" si="3"/>
        <v>0</v>
      </c>
      <c r="AC22" s="30">
        <f t="shared" si="3"/>
        <v>0</v>
      </c>
    </row>
    <row r="23" spans="1:29" x14ac:dyDescent="0.2">
      <c r="A23" s="28" t="s">
        <v>33</v>
      </c>
      <c r="B23" s="30">
        <f t="shared" si="3"/>
        <v>27517</v>
      </c>
      <c r="C23" s="30">
        <f t="shared" si="3"/>
        <v>0</v>
      </c>
      <c r="D23" s="30">
        <f t="shared" si="3"/>
        <v>0</v>
      </c>
      <c r="E23" s="30">
        <f t="shared" si="3"/>
        <v>0</v>
      </c>
      <c r="F23" s="30">
        <f t="shared" si="3"/>
        <v>13316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75811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30">
        <f t="shared" si="3"/>
        <v>39134</v>
      </c>
      <c r="O23" s="30">
        <f t="shared" si="3"/>
        <v>0</v>
      </c>
      <c r="P23" s="30">
        <f t="shared" si="3"/>
        <v>0</v>
      </c>
      <c r="Q23" s="30">
        <f t="shared" si="3"/>
        <v>0</v>
      </c>
      <c r="R23" s="30">
        <f t="shared" si="3"/>
        <v>7713</v>
      </c>
      <c r="S23" s="30">
        <f t="shared" si="3"/>
        <v>0</v>
      </c>
      <c r="T23" s="30">
        <f t="shared" si="3"/>
        <v>0</v>
      </c>
      <c r="U23" s="30">
        <f t="shared" si="3"/>
        <v>0</v>
      </c>
      <c r="V23" s="30">
        <f t="shared" si="4"/>
        <v>7332</v>
      </c>
      <c r="W23" s="30">
        <f t="shared" si="3"/>
        <v>0</v>
      </c>
      <c r="X23" s="30">
        <f t="shared" si="3"/>
        <v>0</v>
      </c>
      <c r="Y23" s="30">
        <f t="shared" si="3"/>
        <v>0</v>
      </c>
      <c r="Z23" s="30">
        <f t="shared" si="3"/>
        <v>0</v>
      </c>
      <c r="AA23" s="30">
        <f t="shared" si="3"/>
        <v>0</v>
      </c>
      <c r="AB23" s="30">
        <f t="shared" si="3"/>
        <v>0</v>
      </c>
      <c r="AC23" s="30">
        <f t="shared" si="3"/>
        <v>0</v>
      </c>
    </row>
    <row r="24" spans="1:29" x14ac:dyDescent="0.2">
      <c r="A24" s="28" t="s">
        <v>34</v>
      </c>
      <c r="B24" s="30">
        <f t="shared" si="3"/>
        <v>30960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14987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83466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43797</v>
      </c>
      <c r="O24" s="30">
        <f t="shared" si="3"/>
        <v>0</v>
      </c>
      <c r="P24" s="30">
        <f t="shared" si="3"/>
        <v>0</v>
      </c>
      <c r="Q24" s="30">
        <f t="shared" si="3"/>
        <v>0</v>
      </c>
      <c r="R24" s="30">
        <f t="shared" si="3"/>
        <v>8626</v>
      </c>
      <c r="S24" s="30">
        <f t="shared" si="3"/>
        <v>0</v>
      </c>
      <c r="T24" s="30">
        <f t="shared" si="3"/>
        <v>0</v>
      </c>
      <c r="U24" s="30">
        <f t="shared" si="3"/>
        <v>0</v>
      </c>
      <c r="V24" s="30">
        <f t="shared" si="4"/>
        <v>8249</v>
      </c>
      <c r="W24" s="30">
        <f t="shared" si="3"/>
        <v>0</v>
      </c>
      <c r="X24" s="30">
        <f t="shared" si="3"/>
        <v>0</v>
      </c>
      <c r="Y24" s="30">
        <f t="shared" si="3"/>
        <v>0</v>
      </c>
      <c r="Z24" s="30">
        <f t="shared" si="3"/>
        <v>0</v>
      </c>
      <c r="AA24" s="30">
        <f t="shared" si="3"/>
        <v>0</v>
      </c>
      <c r="AB24" s="30">
        <f t="shared" si="3"/>
        <v>0</v>
      </c>
      <c r="AC24" s="30">
        <f t="shared" si="3"/>
        <v>0</v>
      </c>
    </row>
    <row r="25" spans="1:29" x14ac:dyDescent="0.2">
      <c r="A25" s="28" t="s">
        <v>35</v>
      </c>
      <c r="B25" s="30">
        <f t="shared" si="3"/>
        <v>34404</v>
      </c>
      <c r="C25" s="30">
        <f t="shared" si="3"/>
        <v>0</v>
      </c>
      <c r="D25" s="30">
        <f t="shared" si="3"/>
        <v>0</v>
      </c>
      <c r="E25" s="30">
        <f t="shared" si="3"/>
        <v>0</v>
      </c>
      <c r="F25" s="30">
        <f t="shared" si="3"/>
        <v>16658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91118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30">
        <f t="shared" si="3"/>
        <v>48457</v>
      </c>
      <c r="O25" s="30">
        <f t="shared" si="3"/>
        <v>0</v>
      </c>
      <c r="P25" s="30">
        <f t="shared" si="3"/>
        <v>0</v>
      </c>
      <c r="Q25" s="30">
        <f t="shared" si="3"/>
        <v>0</v>
      </c>
      <c r="R25" s="30">
        <f t="shared" si="3"/>
        <v>9539</v>
      </c>
      <c r="S25" s="30">
        <f t="shared" si="3"/>
        <v>0</v>
      </c>
      <c r="T25" s="30">
        <f t="shared" si="3"/>
        <v>0</v>
      </c>
      <c r="U25" s="30">
        <f t="shared" si="3"/>
        <v>0</v>
      </c>
      <c r="V25" s="30">
        <f t="shared" si="4"/>
        <v>9166</v>
      </c>
      <c r="W25" s="30">
        <f t="shared" si="3"/>
        <v>0</v>
      </c>
      <c r="X25" s="30">
        <f t="shared" si="3"/>
        <v>0</v>
      </c>
      <c r="Y25" s="30">
        <f t="shared" si="3"/>
        <v>0</v>
      </c>
      <c r="Z25" s="30">
        <f t="shared" si="3"/>
        <v>0</v>
      </c>
      <c r="AA25" s="30">
        <f t="shared" si="3"/>
        <v>0</v>
      </c>
      <c r="AB25" s="30">
        <f t="shared" si="3"/>
        <v>0</v>
      </c>
      <c r="AC25" s="30">
        <f t="shared" si="3"/>
        <v>0</v>
      </c>
    </row>
    <row r="26" spans="1:29" x14ac:dyDescent="0.2">
      <c r="A26" s="28" t="s">
        <v>36</v>
      </c>
      <c r="B26" s="30">
        <f t="shared" si="3"/>
        <v>37852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18329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98764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53115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10452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4"/>
        <v>10083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</row>
    <row r="27" spans="1:29" x14ac:dyDescent="0.2">
      <c r="A27" s="12" t="s">
        <v>15</v>
      </c>
      <c r="B27" s="32">
        <f t="shared" si="3"/>
        <v>41300</v>
      </c>
      <c r="C27" s="32">
        <f t="shared" si="3"/>
        <v>0</v>
      </c>
      <c r="D27" s="32">
        <f t="shared" si="3"/>
        <v>0</v>
      </c>
      <c r="E27" s="32">
        <f t="shared" ref="E27:AC27" si="5">E26+E15</f>
        <v>0</v>
      </c>
      <c r="F27" s="32">
        <f t="shared" si="5"/>
        <v>20000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106408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57770</v>
      </c>
      <c r="O27" s="32">
        <f t="shared" si="5"/>
        <v>0</v>
      </c>
      <c r="P27" s="32">
        <f t="shared" si="5"/>
        <v>0</v>
      </c>
      <c r="Q27" s="32">
        <f t="shared" si="5"/>
        <v>0</v>
      </c>
      <c r="R27" s="32">
        <f t="shared" si="5"/>
        <v>11365</v>
      </c>
      <c r="S27" s="32">
        <f t="shared" si="5"/>
        <v>0</v>
      </c>
      <c r="T27" s="32">
        <f t="shared" si="5"/>
        <v>0</v>
      </c>
      <c r="U27" s="32">
        <f t="shared" si="5"/>
        <v>0</v>
      </c>
      <c r="V27" s="32">
        <f t="shared" si="5"/>
        <v>11000</v>
      </c>
      <c r="W27" s="32">
        <f t="shared" si="5"/>
        <v>0</v>
      </c>
      <c r="X27" s="32">
        <f t="shared" si="5"/>
        <v>0</v>
      </c>
      <c r="Y27" s="32">
        <f t="shared" si="5"/>
        <v>0</v>
      </c>
      <c r="Z27" s="32">
        <f t="shared" si="5"/>
        <v>0</v>
      </c>
      <c r="AA27" s="32">
        <f t="shared" si="5"/>
        <v>0</v>
      </c>
      <c r="AB27" s="32">
        <f t="shared" si="5"/>
        <v>0</v>
      </c>
      <c r="AC27" s="32">
        <f t="shared" si="5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12" ySplit="3" topLeftCell="M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6" width="0" hidden="1" customWidth="1"/>
    <col min="7" max="7" width="11" hidden="1" customWidth="1"/>
    <col min="8" max="9" width="9" hidden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24" t="s">
        <v>22</v>
      </c>
      <c r="L1" s="25"/>
      <c r="N1" s="19"/>
      <c r="O1" s="24" t="s">
        <v>185</v>
      </c>
      <c r="P1" s="25"/>
      <c r="R1" s="19"/>
      <c r="S1" s="24" t="s">
        <v>280</v>
      </c>
      <c r="T1" s="25"/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</row>
    <row r="3" spans="1:27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7"/>
      <c r="O3" s="17" t="s">
        <v>27</v>
      </c>
      <c r="P3" s="15" t="s">
        <v>26</v>
      </c>
      <c r="Q3" s="115" t="s">
        <v>105</v>
      </c>
      <c r="R3" s="7"/>
      <c r="S3" s="17" t="s">
        <v>27</v>
      </c>
      <c r="T3" s="15" t="s">
        <v>26</v>
      </c>
      <c r="U3" s="115" t="s">
        <v>105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24645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7" x14ac:dyDescent="0.2">
      <c r="A10" s="82" t="s">
        <v>19</v>
      </c>
      <c r="B10" s="104">
        <f t="shared" si="0"/>
        <v>0</v>
      </c>
      <c r="C10" s="84"/>
      <c r="D10" s="84"/>
      <c r="E10" s="84"/>
      <c r="F10" s="104">
        <f t="shared" si="1"/>
        <v>0</v>
      </c>
      <c r="G10" s="84"/>
      <c r="H10" s="84"/>
      <c r="I10" s="84"/>
      <c r="J10" s="22">
        <v>1230</v>
      </c>
      <c r="K10" s="22"/>
      <c r="L10" s="104"/>
      <c r="M10" s="104"/>
      <c r="N10" s="22">
        <v>1500</v>
      </c>
      <c r="O10" s="22"/>
      <c r="P10" s="104"/>
      <c r="Q10" s="104"/>
      <c r="R10" s="22"/>
      <c r="S10" s="22"/>
      <c r="T10" s="104"/>
      <c r="U10" s="104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1200</v>
      </c>
      <c r="K11" s="22"/>
      <c r="L11" s="22"/>
      <c r="M11" s="22"/>
      <c r="N11" s="22">
        <v>1500</v>
      </c>
      <c r="O11" s="22"/>
      <c r="P11" s="22"/>
      <c r="Q11" s="22"/>
      <c r="R11" s="22"/>
      <c r="S11" s="22"/>
      <c r="T11" s="22"/>
      <c r="U11" s="22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1200</v>
      </c>
      <c r="K12" s="22"/>
      <c r="L12" s="22"/>
      <c r="M12" s="22"/>
      <c r="N12" s="22">
        <v>1500</v>
      </c>
      <c r="O12" s="22"/>
      <c r="P12" s="22"/>
      <c r="Q12" s="22"/>
      <c r="R12" s="22">
        <v>210</v>
      </c>
      <c r="S12" s="22"/>
      <c r="T12" s="22"/>
      <c r="U12" s="22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1070</v>
      </c>
      <c r="K13" s="22"/>
      <c r="L13" s="22"/>
      <c r="M13" s="22"/>
      <c r="N13" s="22">
        <v>1500</v>
      </c>
      <c r="O13" s="22"/>
      <c r="P13" s="22"/>
      <c r="Q13" s="22"/>
      <c r="R13" s="22">
        <v>210</v>
      </c>
      <c r="S13" s="22"/>
      <c r="T13" s="22"/>
      <c r="U13" s="22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v>1200</v>
      </c>
      <c r="K14" s="22"/>
      <c r="L14" s="22"/>
      <c r="M14" s="22"/>
      <c r="N14" s="22">
        <v>1500</v>
      </c>
      <c r="O14" s="22"/>
      <c r="P14" s="22"/>
      <c r="Q14" s="22"/>
      <c r="R14" s="22">
        <v>210</v>
      </c>
      <c r="S14" s="22"/>
      <c r="T14" s="22"/>
      <c r="U14" s="22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v>1492</v>
      </c>
      <c r="K15" s="22"/>
      <c r="L15" s="22"/>
      <c r="M15" s="22"/>
      <c r="N15" s="22">
        <v>1943</v>
      </c>
      <c r="O15" s="22"/>
      <c r="P15" s="22"/>
      <c r="Q15" s="22"/>
      <c r="R15" s="22">
        <v>194</v>
      </c>
      <c r="S15" s="22"/>
      <c r="T15" s="22"/>
      <c r="U15" s="22"/>
    </row>
    <row r="16" spans="1:27" x14ac:dyDescent="0.2">
      <c r="A16" s="1" t="s">
        <v>6</v>
      </c>
      <c r="B16" s="22">
        <f>SUM(B4:B15)</f>
        <v>0</v>
      </c>
      <c r="C16" s="22">
        <f t="shared" ref="C16:M16" si="2">SUM(C4:C15)</f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32037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ref="N16:U16" si="3">SUM(N4:N15)</f>
        <v>9443</v>
      </c>
      <c r="O16" s="22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824</v>
      </c>
      <c r="S16" s="22">
        <f t="shared" si="3"/>
        <v>0</v>
      </c>
      <c r="T16" s="22">
        <f t="shared" si="3"/>
        <v>0</v>
      </c>
      <c r="U16" s="22">
        <f t="shared" si="3"/>
        <v>0</v>
      </c>
    </row>
    <row r="17" spans="1:21" x14ac:dyDescent="0.2">
      <c r="A17" s="28" t="s">
        <v>28</v>
      </c>
      <c r="B17" s="30">
        <f t="shared" ref="B17:L17" si="4">B4+B5</f>
        <v>0</v>
      </c>
      <c r="C17" s="30">
        <f t="shared" si="4"/>
        <v>0</v>
      </c>
      <c r="D17" s="30">
        <f t="shared" si="4"/>
        <v>0</v>
      </c>
      <c r="E17" s="30"/>
      <c r="F17" s="30">
        <f t="shared" si="4"/>
        <v>0</v>
      </c>
      <c r="G17" s="30">
        <f t="shared" si="4"/>
        <v>0</v>
      </c>
      <c r="H17" s="30">
        <f t="shared" si="4"/>
        <v>0</v>
      </c>
      <c r="I17" s="30"/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ref="M17:U17" si="5">M4+M5</f>
        <v>0</v>
      </c>
      <c r="N17" s="30">
        <f t="shared" si="5"/>
        <v>0</v>
      </c>
      <c r="O17" s="30">
        <f t="shared" si="5"/>
        <v>0</v>
      </c>
      <c r="P17" s="30">
        <f t="shared" si="5"/>
        <v>0</v>
      </c>
      <c r="Q17" s="30">
        <f t="shared" si="5"/>
        <v>0</v>
      </c>
      <c r="R17" s="30">
        <f t="shared" si="5"/>
        <v>0</v>
      </c>
      <c r="S17" s="30">
        <f t="shared" si="5"/>
        <v>0</v>
      </c>
      <c r="T17" s="30">
        <f t="shared" si="5"/>
        <v>0</v>
      </c>
      <c r="U17" s="30">
        <f t="shared" si="5"/>
        <v>0</v>
      </c>
    </row>
    <row r="18" spans="1:21" x14ac:dyDescent="0.2">
      <c r="A18" s="28" t="s">
        <v>96</v>
      </c>
      <c r="B18" s="30">
        <f t="shared" ref="B18:B27" si="6">B17+B6</f>
        <v>0</v>
      </c>
      <c r="C18" s="30">
        <f t="shared" ref="C18:C27" si="7">C17+C6</f>
        <v>0</v>
      </c>
      <c r="D18" s="30">
        <f t="shared" ref="D18:D27" si="8">D17+D6</f>
        <v>0</v>
      </c>
      <c r="E18" s="30"/>
      <c r="F18" s="30">
        <f t="shared" ref="F18:F27" si="9">F17+F6</f>
        <v>0</v>
      </c>
      <c r="G18" s="30">
        <f t="shared" ref="G18:G27" si="10">G17+G6</f>
        <v>0</v>
      </c>
      <c r="H18" s="30">
        <f t="shared" ref="H18:H27" si="11">H17+H6</f>
        <v>0</v>
      </c>
      <c r="I18" s="30"/>
      <c r="J18" s="30">
        <f t="shared" ref="J18:J27" si="12">J17+J6</f>
        <v>0</v>
      </c>
      <c r="K18" s="30">
        <f t="shared" ref="K18:K27" si="13">K17+K6</f>
        <v>0</v>
      </c>
      <c r="L18" s="30">
        <f t="shared" ref="L18:M27" si="14">L17+L6</f>
        <v>0</v>
      </c>
      <c r="M18" s="30">
        <f t="shared" si="14"/>
        <v>0</v>
      </c>
      <c r="N18" s="30">
        <f t="shared" ref="N18:N27" si="15">N17+N6</f>
        <v>0</v>
      </c>
      <c r="O18" s="30">
        <f t="shared" ref="O18:O27" si="16">O17+O6</f>
        <v>0</v>
      </c>
      <c r="P18" s="30">
        <f t="shared" ref="P18:P27" si="17">P17+P6</f>
        <v>0</v>
      </c>
      <c r="Q18" s="30">
        <f t="shared" ref="Q18:Q27" si="18">Q17+Q6</f>
        <v>0</v>
      </c>
      <c r="R18" s="30">
        <f t="shared" ref="R18:R27" si="19">R17+R6</f>
        <v>0</v>
      </c>
      <c r="S18" s="30">
        <f t="shared" ref="S18:S27" si="20">S17+S6</f>
        <v>0</v>
      </c>
      <c r="T18" s="30">
        <f t="shared" ref="T18:T27" si="21">T17+T6</f>
        <v>0</v>
      </c>
      <c r="U18" s="30">
        <f t="shared" ref="U18:U27" si="22">U17+U6</f>
        <v>0</v>
      </c>
    </row>
    <row r="19" spans="1:21" x14ac:dyDescent="0.2">
      <c r="A19" s="28" t="s">
        <v>29</v>
      </c>
      <c r="B19" s="30">
        <f t="shared" si="6"/>
        <v>0</v>
      </c>
      <c r="C19" s="30">
        <f t="shared" si="7"/>
        <v>0</v>
      </c>
      <c r="D19" s="30">
        <f t="shared" si="8"/>
        <v>0</v>
      </c>
      <c r="E19" s="30"/>
      <c r="F19" s="30">
        <f t="shared" si="9"/>
        <v>0</v>
      </c>
      <c r="G19" s="30">
        <f t="shared" si="10"/>
        <v>0</v>
      </c>
      <c r="H19" s="30">
        <f t="shared" si="11"/>
        <v>0</v>
      </c>
      <c r="I19" s="30"/>
      <c r="J19" s="30">
        <f t="shared" si="12"/>
        <v>0</v>
      </c>
      <c r="K19" s="30">
        <f t="shared" si="13"/>
        <v>0</v>
      </c>
      <c r="L19" s="30">
        <f t="shared" si="14"/>
        <v>0</v>
      </c>
      <c r="M19" s="30">
        <f t="shared" si="14"/>
        <v>0</v>
      </c>
      <c r="N19" s="30">
        <f t="shared" si="15"/>
        <v>0</v>
      </c>
      <c r="O19" s="30">
        <f t="shared" si="16"/>
        <v>0</v>
      </c>
      <c r="P19" s="30">
        <f t="shared" si="17"/>
        <v>0</v>
      </c>
      <c r="Q19" s="30">
        <f t="shared" si="18"/>
        <v>0</v>
      </c>
      <c r="R19" s="30">
        <f t="shared" si="19"/>
        <v>0</v>
      </c>
      <c r="S19" s="30">
        <f t="shared" si="20"/>
        <v>0</v>
      </c>
      <c r="T19" s="30">
        <f t="shared" si="21"/>
        <v>0</v>
      </c>
      <c r="U19" s="30">
        <f t="shared" si="22"/>
        <v>0</v>
      </c>
    </row>
    <row r="20" spans="1:21" x14ac:dyDescent="0.2">
      <c r="A20" s="28" t="s">
        <v>30</v>
      </c>
      <c r="B20" s="30">
        <f t="shared" si="6"/>
        <v>0</v>
      </c>
      <c r="C20" s="30">
        <f t="shared" si="7"/>
        <v>0</v>
      </c>
      <c r="D20" s="30">
        <f t="shared" si="8"/>
        <v>0</v>
      </c>
      <c r="E20" s="30"/>
      <c r="F20" s="30">
        <f t="shared" si="9"/>
        <v>0</v>
      </c>
      <c r="G20" s="30">
        <f t="shared" si="10"/>
        <v>0</v>
      </c>
      <c r="H20" s="30">
        <f t="shared" si="11"/>
        <v>0</v>
      </c>
      <c r="I20" s="30"/>
      <c r="J20" s="30">
        <f t="shared" si="12"/>
        <v>0</v>
      </c>
      <c r="K20" s="30">
        <f t="shared" si="13"/>
        <v>0</v>
      </c>
      <c r="L20" s="30">
        <f t="shared" si="14"/>
        <v>0</v>
      </c>
      <c r="M20" s="30">
        <f t="shared" si="14"/>
        <v>0</v>
      </c>
      <c r="N20" s="30">
        <f t="shared" si="15"/>
        <v>0</v>
      </c>
      <c r="O20" s="30">
        <f t="shared" si="16"/>
        <v>0</v>
      </c>
      <c r="P20" s="30">
        <f t="shared" si="17"/>
        <v>0</v>
      </c>
      <c r="Q20" s="30">
        <f t="shared" si="18"/>
        <v>0</v>
      </c>
      <c r="R20" s="30">
        <f t="shared" si="19"/>
        <v>0</v>
      </c>
      <c r="S20" s="30">
        <f t="shared" si="20"/>
        <v>0</v>
      </c>
      <c r="T20" s="30">
        <f t="shared" si="21"/>
        <v>0</v>
      </c>
      <c r="U20" s="30">
        <f t="shared" si="22"/>
        <v>0</v>
      </c>
    </row>
    <row r="21" spans="1:21" x14ac:dyDescent="0.2">
      <c r="A21" s="28" t="s">
        <v>31</v>
      </c>
      <c r="B21" s="30">
        <f t="shared" si="6"/>
        <v>0</v>
      </c>
      <c r="C21" s="30">
        <f t="shared" si="7"/>
        <v>0</v>
      </c>
      <c r="D21" s="30">
        <f t="shared" si="8"/>
        <v>0</v>
      </c>
      <c r="E21" s="30"/>
      <c r="F21" s="30">
        <f t="shared" si="9"/>
        <v>0</v>
      </c>
      <c r="G21" s="30">
        <f t="shared" si="10"/>
        <v>0</v>
      </c>
      <c r="H21" s="30">
        <f t="shared" si="11"/>
        <v>0</v>
      </c>
      <c r="I21" s="30"/>
      <c r="J21" s="30">
        <f t="shared" si="12"/>
        <v>24645</v>
      </c>
      <c r="K21" s="30">
        <f t="shared" si="13"/>
        <v>0</v>
      </c>
      <c r="L21" s="30">
        <f t="shared" si="14"/>
        <v>0</v>
      </c>
      <c r="M21" s="30">
        <f t="shared" si="14"/>
        <v>0</v>
      </c>
      <c r="N21" s="30">
        <f t="shared" si="15"/>
        <v>0</v>
      </c>
      <c r="O21" s="30">
        <f t="shared" si="16"/>
        <v>0</v>
      </c>
      <c r="P21" s="30">
        <f t="shared" si="17"/>
        <v>0</v>
      </c>
      <c r="Q21" s="30">
        <f t="shared" si="18"/>
        <v>0</v>
      </c>
      <c r="R21" s="30">
        <f t="shared" si="19"/>
        <v>0</v>
      </c>
      <c r="S21" s="30">
        <f t="shared" si="20"/>
        <v>0</v>
      </c>
      <c r="T21" s="30">
        <f t="shared" si="21"/>
        <v>0</v>
      </c>
      <c r="U21" s="30">
        <f t="shared" si="22"/>
        <v>0</v>
      </c>
    </row>
    <row r="22" spans="1:21" x14ac:dyDescent="0.2">
      <c r="A22" s="28" t="s">
        <v>32</v>
      </c>
      <c r="B22" s="30">
        <f t="shared" si="6"/>
        <v>0</v>
      </c>
      <c r="C22" s="30">
        <f t="shared" si="7"/>
        <v>0</v>
      </c>
      <c r="D22" s="30">
        <f t="shared" si="8"/>
        <v>0</v>
      </c>
      <c r="E22" s="30"/>
      <c r="F22" s="30">
        <f t="shared" si="9"/>
        <v>0</v>
      </c>
      <c r="G22" s="30">
        <f t="shared" si="10"/>
        <v>0</v>
      </c>
      <c r="H22" s="30">
        <f t="shared" si="11"/>
        <v>0</v>
      </c>
      <c r="I22" s="30"/>
      <c r="J22" s="30">
        <f t="shared" si="12"/>
        <v>25875</v>
      </c>
      <c r="K22" s="30">
        <f t="shared" si="13"/>
        <v>0</v>
      </c>
      <c r="L22" s="30">
        <f t="shared" si="14"/>
        <v>0</v>
      </c>
      <c r="M22" s="30">
        <f t="shared" si="14"/>
        <v>0</v>
      </c>
      <c r="N22" s="30">
        <f t="shared" si="15"/>
        <v>1500</v>
      </c>
      <c r="O22" s="30">
        <f t="shared" si="16"/>
        <v>0</v>
      </c>
      <c r="P22" s="30">
        <f t="shared" si="17"/>
        <v>0</v>
      </c>
      <c r="Q22" s="30">
        <f t="shared" si="18"/>
        <v>0</v>
      </c>
      <c r="R22" s="30">
        <f t="shared" si="19"/>
        <v>0</v>
      </c>
      <c r="S22" s="30">
        <f t="shared" si="20"/>
        <v>0</v>
      </c>
      <c r="T22" s="30">
        <f t="shared" si="21"/>
        <v>0</v>
      </c>
      <c r="U22" s="30">
        <f t="shared" si="22"/>
        <v>0</v>
      </c>
    </row>
    <row r="23" spans="1:21" x14ac:dyDescent="0.2">
      <c r="A23" s="28" t="s">
        <v>33</v>
      </c>
      <c r="B23" s="30">
        <f t="shared" si="6"/>
        <v>0</v>
      </c>
      <c r="C23" s="30">
        <f t="shared" si="7"/>
        <v>0</v>
      </c>
      <c r="D23" s="30">
        <f t="shared" si="8"/>
        <v>0</v>
      </c>
      <c r="E23" s="30"/>
      <c r="F23" s="30">
        <f t="shared" si="9"/>
        <v>0</v>
      </c>
      <c r="G23" s="30">
        <f t="shared" si="10"/>
        <v>0</v>
      </c>
      <c r="H23" s="30">
        <f t="shared" si="11"/>
        <v>0</v>
      </c>
      <c r="I23" s="30"/>
      <c r="J23" s="30">
        <f t="shared" si="12"/>
        <v>27075</v>
      </c>
      <c r="K23" s="30">
        <f t="shared" si="13"/>
        <v>0</v>
      </c>
      <c r="L23" s="30">
        <f t="shared" si="14"/>
        <v>0</v>
      </c>
      <c r="M23" s="30">
        <f t="shared" si="14"/>
        <v>0</v>
      </c>
      <c r="N23" s="30">
        <f t="shared" si="15"/>
        <v>3000</v>
      </c>
      <c r="O23" s="30">
        <f t="shared" si="16"/>
        <v>0</v>
      </c>
      <c r="P23" s="30">
        <f t="shared" si="17"/>
        <v>0</v>
      </c>
      <c r="Q23" s="30">
        <f t="shared" si="18"/>
        <v>0</v>
      </c>
      <c r="R23" s="30">
        <f t="shared" si="19"/>
        <v>0</v>
      </c>
      <c r="S23" s="30">
        <f t="shared" si="20"/>
        <v>0</v>
      </c>
      <c r="T23" s="30">
        <f t="shared" si="21"/>
        <v>0</v>
      </c>
      <c r="U23" s="30">
        <f t="shared" si="22"/>
        <v>0</v>
      </c>
    </row>
    <row r="24" spans="1:21" x14ac:dyDescent="0.2">
      <c r="A24" s="28" t="s">
        <v>34</v>
      </c>
      <c r="B24" s="30">
        <f t="shared" si="6"/>
        <v>0</v>
      </c>
      <c r="C24" s="30">
        <f t="shared" si="7"/>
        <v>0</v>
      </c>
      <c r="D24" s="30">
        <f t="shared" si="8"/>
        <v>0</v>
      </c>
      <c r="E24" s="30"/>
      <c r="F24" s="30">
        <f t="shared" si="9"/>
        <v>0</v>
      </c>
      <c r="G24" s="30">
        <f t="shared" si="10"/>
        <v>0</v>
      </c>
      <c r="H24" s="30">
        <f t="shared" si="11"/>
        <v>0</v>
      </c>
      <c r="I24" s="30"/>
      <c r="J24" s="30">
        <f t="shared" si="12"/>
        <v>28275</v>
      </c>
      <c r="K24" s="30">
        <f t="shared" si="13"/>
        <v>0</v>
      </c>
      <c r="L24" s="30">
        <f t="shared" si="14"/>
        <v>0</v>
      </c>
      <c r="M24" s="30">
        <f t="shared" si="14"/>
        <v>0</v>
      </c>
      <c r="N24" s="30">
        <f t="shared" si="15"/>
        <v>4500</v>
      </c>
      <c r="O24" s="30">
        <f t="shared" si="16"/>
        <v>0</v>
      </c>
      <c r="P24" s="30">
        <f t="shared" si="17"/>
        <v>0</v>
      </c>
      <c r="Q24" s="30">
        <f t="shared" si="18"/>
        <v>0</v>
      </c>
      <c r="R24" s="30">
        <f t="shared" si="19"/>
        <v>210</v>
      </c>
      <c r="S24" s="30">
        <f t="shared" si="20"/>
        <v>0</v>
      </c>
      <c r="T24" s="30">
        <f t="shared" si="21"/>
        <v>0</v>
      </c>
      <c r="U24" s="30">
        <f t="shared" si="22"/>
        <v>0</v>
      </c>
    </row>
    <row r="25" spans="1:21" x14ac:dyDescent="0.2">
      <c r="A25" s="29" t="s">
        <v>35</v>
      </c>
      <c r="B25" s="31">
        <f t="shared" si="6"/>
        <v>0</v>
      </c>
      <c r="C25" s="31">
        <f t="shared" si="7"/>
        <v>0</v>
      </c>
      <c r="D25" s="31">
        <f t="shared" si="8"/>
        <v>0</v>
      </c>
      <c r="E25" s="31"/>
      <c r="F25" s="31">
        <f t="shared" si="9"/>
        <v>0</v>
      </c>
      <c r="G25" s="31">
        <f t="shared" si="10"/>
        <v>0</v>
      </c>
      <c r="H25" s="31">
        <f t="shared" si="11"/>
        <v>0</v>
      </c>
      <c r="I25" s="31"/>
      <c r="J25" s="31">
        <f t="shared" si="12"/>
        <v>29345</v>
      </c>
      <c r="K25" s="31">
        <f t="shared" si="13"/>
        <v>0</v>
      </c>
      <c r="L25" s="31">
        <f t="shared" si="14"/>
        <v>0</v>
      </c>
      <c r="M25" s="31">
        <f t="shared" si="14"/>
        <v>0</v>
      </c>
      <c r="N25" s="31">
        <f t="shared" si="15"/>
        <v>6000</v>
      </c>
      <c r="O25" s="31">
        <f t="shared" si="16"/>
        <v>0</v>
      </c>
      <c r="P25" s="31">
        <f t="shared" si="17"/>
        <v>0</v>
      </c>
      <c r="Q25" s="31">
        <f t="shared" si="18"/>
        <v>0</v>
      </c>
      <c r="R25" s="31">
        <f t="shared" si="19"/>
        <v>420</v>
      </c>
      <c r="S25" s="31">
        <f t="shared" si="20"/>
        <v>0</v>
      </c>
      <c r="T25" s="31">
        <f t="shared" si="21"/>
        <v>0</v>
      </c>
      <c r="U25" s="31">
        <f t="shared" si="22"/>
        <v>0</v>
      </c>
    </row>
    <row r="26" spans="1:21" x14ac:dyDescent="0.2">
      <c r="A26" s="29" t="s">
        <v>36</v>
      </c>
      <c r="B26" s="31">
        <f t="shared" si="6"/>
        <v>0</v>
      </c>
      <c r="C26" s="31">
        <f t="shared" si="7"/>
        <v>0</v>
      </c>
      <c r="D26" s="31">
        <f t="shared" si="8"/>
        <v>0</v>
      </c>
      <c r="E26" s="31"/>
      <c r="F26" s="31">
        <f t="shared" si="9"/>
        <v>0</v>
      </c>
      <c r="G26" s="31">
        <f t="shared" si="10"/>
        <v>0</v>
      </c>
      <c r="H26" s="31">
        <f t="shared" si="11"/>
        <v>0</v>
      </c>
      <c r="I26" s="31"/>
      <c r="J26" s="31">
        <f t="shared" si="12"/>
        <v>30545</v>
      </c>
      <c r="K26" s="31">
        <f t="shared" si="13"/>
        <v>0</v>
      </c>
      <c r="L26" s="31">
        <f t="shared" si="14"/>
        <v>0</v>
      </c>
      <c r="M26" s="31">
        <f t="shared" si="14"/>
        <v>0</v>
      </c>
      <c r="N26" s="31">
        <f t="shared" si="15"/>
        <v>7500</v>
      </c>
      <c r="O26" s="31">
        <f t="shared" si="16"/>
        <v>0</v>
      </c>
      <c r="P26" s="31">
        <f t="shared" si="17"/>
        <v>0</v>
      </c>
      <c r="Q26" s="31">
        <f t="shared" si="18"/>
        <v>0</v>
      </c>
      <c r="R26" s="31">
        <f t="shared" si="19"/>
        <v>630</v>
      </c>
      <c r="S26" s="31">
        <f t="shared" si="20"/>
        <v>0</v>
      </c>
      <c r="T26" s="31">
        <f t="shared" si="21"/>
        <v>0</v>
      </c>
      <c r="U26" s="31">
        <f t="shared" si="22"/>
        <v>0</v>
      </c>
    </row>
    <row r="27" spans="1:21" x14ac:dyDescent="0.2">
      <c r="A27" s="12" t="s">
        <v>15</v>
      </c>
      <c r="B27" s="32">
        <f t="shared" si="6"/>
        <v>0</v>
      </c>
      <c r="C27" s="32">
        <f t="shared" si="7"/>
        <v>0</v>
      </c>
      <c r="D27" s="32">
        <f t="shared" si="8"/>
        <v>0</v>
      </c>
      <c r="E27" s="32"/>
      <c r="F27" s="32">
        <f t="shared" si="9"/>
        <v>0</v>
      </c>
      <c r="G27" s="32">
        <f t="shared" si="10"/>
        <v>0</v>
      </c>
      <c r="H27" s="32">
        <f t="shared" si="11"/>
        <v>0</v>
      </c>
      <c r="I27" s="32"/>
      <c r="J27" s="32">
        <f t="shared" si="12"/>
        <v>32037</v>
      </c>
      <c r="K27" s="32">
        <f t="shared" si="13"/>
        <v>0</v>
      </c>
      <c r="L27" s="32">
        <f t="shared" si="14"/>
        <v>0</v>
      </c>
      <c r="M27" s="32">
        <f t="shared" si="14"/>
        <v>0</v>
      </c>
      <c r="N27" s="32">
        <f t="shared" si="15"/>
        <v>9443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19"/>
        <v>824</v>
      </c>
      <c r="S27" s="32">
        <f t="shared" si="20"/>
        <v>0</v>
      </c>
      <c r="T27" s="32">
        <f t="shared" si="21"/>
        <v>0</v>
      </c>
      <c r="U27" s="32">
        <f t="shared" si="22"/>
        <v>0</v>
      </c>
    </row>
  </sheetData>
  <mergeCells count="7">
    <mergeCell ref="O2:Q2"/>
    <mergeCell ref="S2:U2"/>
    <mergeCell ref="K2:M2"/>
    <mergeCell ref="B1:D1"/>
    <mergeCell ref="F1:H1"/>
    <mergeCell ref="C2:E2"/>
    <mergeCell ref="G2:I2"/>
  </mergeCells>
  <phoneticPr fontId="0" type="noConversion"/>
  <pageMargins left="0.78740157480314965" right="0.78740157480314965" top="0" bottom="0" header="0.51181102362204722" footer="0.51181102362204722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9.5703125" bestFit="1" customWidth="1"/>
    <col min="5" max="5" width="9.5703125" customWidth="1"/>
    <col min="7" max="7" width="11" bestFit="1" customWidth="1"/>
    <col min="8" max="8" width="9.5703125" bestFit="1" customWidth="1"/>
    <col min="9" max="9" width="9.5703125" customWidth="1"/>
    <col min="10" max="10" width="7.140625" bestFit="1" customWidth="1"/>
    <col min="12" max="12" width="9.5703125" bestFit="1" customWidth="1"/>
  </cols>
  <sheetData>
    <row r="1" spans="1:33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253</v>
      </c>
      <c r="X1" s="119"/>
      <c r="Z1" s="19"/>
      <c r="AA1" s="118" t="s">
        <v>173</v>
      </c>
      <c r="AB1" s="119"/>
      <c r="AD1" s="19"/>
      <c r="AE1" s="118" t="s">
        <v>194</v>
      </c>
      <c r="AF1" s="119"/>
    </row>
    <row r="2" spans="1:33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  <c r="AD2" s="5" t="s">
        <v>6</v>
      </c>
      <c r="AE2" s="359" t="s">
        <v>25</v>
      </c>
      <c r="AF2" s="358"/>
      <c r="AG2" s="362"/>
    </row>
    <row r="3" spans="1:33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  <c r="AD3" s="1"/>
      <c r="AE3" s="15" t="s">
        <v>27</v>
      </c>
      <c r="AF3" s="15" t="s">
        <v>26</v>
      </c>
      <c r="AG3" s="115" t="s">
        <v>105</v>
      </c>
    </row>
    <row r="4" spans="1:33" x14ac:dyDescent="0.2">
      <c r="A4" s="1" t="s">
        <v>4</v>
      </c>
      <c r="B4" s="22">
        <v>300</v>
      </c>
      <c r="C4" s="22"/>
      <c r="D4" s="22"/>
      <c r="E4" s="22"/>
      <c r="F4" s="22">
        <v>470</v>
      </c>
      <c r="G4" s="22"/>
      <c r="H4" s="22"/>
      <c r="I4" s="125"/>
      <c r="J4" s="22">
        <v>1610</v>
      </c>
      <c r="K4" s="22"/>
      <c r="L4" s="22"/>
      <c r="M4" s="22"/>
      <c r="N4" s="22">
        <v>1818</v>
      </c>
      <c r="O4" s="22"/>
      <c r="P4" s="22"/>
      <c r="Q4" s="22"/>
      <c r="R4" s="22">
        <v>83</v>
      </c>
      <c r="S4" s="22"/>
      <c r="T4" s="22"/>
      <c r="U4" s="22"/>
      <c r="V4" s="22">
        <v>360</v>
      </c>
      <c r="W4" s="22"/>
      <c r="X4" s="22"/>
      <c r="Y4" s="22"/>
      <c r="Z4" s="22"/>
      <c r="AA4" s="22"/>
      <c r="AB4" s="22"/>
      <c r="AC4" s="22"/>
      <c r="AD4" s="22">
        <v>4000</v>
      </c>
      <c r="AE4" s="22"/>
      <c r="AF4" s="22"/>
      <c r="AG4" s="22"/>
    </row>
    <row r="5" spans="1:33" x14ac:dyDescent="0.2">
      <c r="A5" s="1" t="s">
        <v>7</v>
      </c>
      <c r="B5" s="22">
        <v>345</v>
      </c>
      <c r="C5" s="22"/>
      <c r="D5" s="22"/>
      <c r="E5" s="22"/>
      <c r="F5" s="22">
        <v>560</v>
      </c>
      <c r="G5" s="22"/>
      <c r="H5" s="22"/>
      <c r="I5" s="125"/>
      <c r="J5" s="22">
        <v>1810</v>
      </c>
      <c r="K5" s="22"/>
      <c r="L5" s="22"/>
      <c r="M5" s="22"/>
      <c r="N5" s="22">
        <v>2068</v>
      </c>
      <c r="O5" s="22"/>
      <c r="P5" s="22"/>
      <c r="Q5" s="22"/>
      <c r="R5" s="22">
        <v>83</v>
      </c>
      <c r="S5" s="22"/>
      <c r="T5" s="22"/>
      <c r="U5" s="22"/>
      <c r="V5" s="22">
        <v>360</v>
      </c>
      <c r="W5" s="22"/>
      <c r="X5" s="22"/>
      <c r="Y5" s="22"/>
      <c r="Z5" s="22"/>
      <c r="AA5" s="22"/>
      <c r="AB5" s="22"/>
      <c r="AC5" s="22"/>
      <c r="AD5" s="22">
        <v>4488</v>
      </c>
      <c r="AE5" s="22"/>
      <c r="AF5" s="22"/>
      <c r="AG5" s="22"/>
    </row>
    <row r="6" spans="1:33" x14ac:dyDescent="0.2">
      <c r="A6" s="1" t="s">
        <v>8</v>
      </c>
      <c r="B6" s="22">
        <v>368</v>
      </c>
      <c r="C6" s="22"/>
      <c r="D6" s="22"/>
      <c r="E6" s="22"/>
      <c r="F6" s="22">
        <v>560</v>
      </c>
      <c r="G6" s="22"/>
      <c r="H6" s="22"/>
      <c r="I6" s="125"/>
      <c r="J6" s="22">
        <v>2010</v>
      </c>
      <c r="K6" s="22"/>
      <c r="L6" s="22"/>
      <c r="M6" s="22"/>
      <c r="N6" s="22">
        <v>2225</v>
      </c>
      <c r="O6" s="22"/>
      <c r="P6" s="22"/>
      <c r="Q6" s="22"/>
      <c r="R6" s="22">
        <v>83</v>
      </c>
      <c r="S6" s="22"/>
      <c r="T6" s="22"/>
      <c r="U6" s="22"/>
      <c r="V6" s="22">
        <v>350</v>
      </c>
      <c r="W6" s="22"/>
      <c r="X6" s="22"/>
      <c r="Y6" s="22"/>
      <c r="Z6" s="22"/>
      <c r="AA6" s="22"/>
      <c r="AB6" s="22"/>
      <c r="AC6" s="22"/>
      <c r="AD6" s="22">
        <v>4177</v>
      </c>
      <c r="AE6" s="22"/>
      <c r="AF6" s="22"/>
      <c r="AG6" s="22"/>
    </row>
    <row r="7" spans="1:33" x14ac:dyDescent="0.2">
      <c r="A7" s="1" t="s">
        <v>16</v>
      </c>
      <c r="B7" s="22">
        <v>352</v>
      </c>
      <c r="C7" s="22"/>
      <c r="D7" s="22"/>
      <c r="E7" s="22"/>
      <c r="F7" s="22">
        <v>560</v>
      </c>
      <c r="G7" s="22"/>
      <c r="H7" s="22"/>
      <c r="I7" s="125"/>
      <c r="J7" s="22">
        <v>2010</v>
      </c>
      <c r="K7" s="22"/>
      <c r="L7" s="22"/>
      <c r="M7" s="22"/>
      <c r="N7" s="22">
        <v>2313</v>
      </c>
      <c r="O7" s="22"/>
      <c r="P7" s="22"/>
      <c r="Q7" s="22"/>
      <c r="R7" s="22">
        <v>83</v>
      </c>
      <c r="S7" s="22"/>
      <c r="T7" s="22"/>
      <c r="U7" s="22"/>
      <c r="V7" s="22">
        <v>340</v>
      </c>
      <c r="W7" s="22"/>
      <c r="X7" s="22"/>
      <c r="Y7" s="22"/>
      <c r="Z7" s="22"/>
      <c r="AA7" s="22"/>
      <c r="AB7" s="22"/>
      <c r="AC7" s="22"/>
      <c r="AD7" s="22">
        <v>4594</v>
      </c>
      <c r="AE7" s="22"/>
      <c r="AF7" s="22"/>
      <c r="AG7" s="22"/>
    </row>
    <row r="8" spans="1:33" x14ac:dyDescent="0.2">
      <c r="A8" s="1" t="s">
        <v>17</v>
      </c>
      <c r="B8" s="22">
        <v>305</v>
      </c>
      <c r="C8" s="22"/>
      <c r="D8" s="22"/>
      <c r="E8" s="22"/>
      <c r="F8" s="22">
        <v>560</v>
      </c>
      <c r="G8" s="22"/>
      <c r="H8" s="22"/>
      <c r="I8" s="125"/>
      <c r="J8" s="22">
        <v>1910</v>
      </c>
      <c r="K8" s="22"/>
      <c r="L8" s="22"/>
      <c r="M8" s="22"/>
      <c r="N8" s="22">
        <v>2556</v>
      </c>
      <c r="O8" s="22"/>
      <c r="P8" s="22"/>
      <c r="Q8" s="22"/>
      <c r="R8" s="22">
        <v>83</v>
      </c>
      <c r="S8" s="22"/>
      <c r="T8" s="22"/>
      <c r="U8" s="22"/>
      <c r="V8" s="22">
        <v>330</v>
      </c>
      <c r="W8" s="22"/>
      <c r="X8" s="22"/>
      <c r="Y8" s="22"/>
      <c r="Z8" s="22"/>
      <c r="AA8" s="22"/>
      <c r="AB8" s="22"/>
      <c r="AC8" s="22"/>
      <c r="AD8" s="22">
        <v>4385</v>
      </c>
      <c r="AE8" s="22"/>
      <c r="AF8" s="22"/>
      <c r="AG8" s="22"/>
    </row>
    <row r="9" spans="1:33" x14ac:dyDescent="0.2">
      <c r="A9" s="1" t="s">
        <v>18</v>
      </c>
      <c r="B9" s="22">
        <v>285</v>
      </c>
      <c r="C9" s="22"/>
      <c r="D9" s="22"/>
      <c r="E9" s="22"/>
      <c r="F9" s="22">
        <v>560</v>
      </c>
      <c r="G9" s="22"/>
      <c r="H9" s="22"/>
      <c r="I9" s="125"/>
      <c r="J9" s="22">
        <v>1710</v>
      </c>
      <c r="K9" s="22"/>
      <c r="L9" s="22"/>
      <c r="M9" s="22"/>
      <c r="N9" s="22">
        <v>1958</v>
      </c>
      <c r="O9" s="22"/>
      <c r="P9" s="22"/>
      <c r="Q9" s="22"/>
      <c r="R9" s="22">
        <v>83</v>
      </c>
      <c r="S9" s="22"/>
      <c r="T9" s="22"/>
      <c r="U9" s="22"/>
      <c r="V9" s="22">
        <v>310</v>
      </c>
      <c r="W9" s="22"/>
      <c r="X9" s="22"/>
      <c r="Y9" s="22"/>
      <c r="Z9" s="22"/>
      <c r="AA9" s="22"/>
      <c r="AB9" s="22"/>
      <c r="AC9" s="22"/>
      <c r="AD9" s="22">
        <v>3968</v>
      </c>
      <c r="AE9" s="22"/>
      <c r="AF9" s="22"/>
      <c r="AG9" s="22"/>
    </row>
    <row r="10" spans="1:33" x14ac:dyDescent="0.2">
      <c r="A10" s="82" t="s">
        <v>19</v>
      </c>
      <c r="B10" s="22">
        <v>275</v>
      </c>
      <c r="C10" s="22"/>
      <c r="D10" s="22"/>
      <c r="E10" s="22"/>
      <c r="F10" s="22">
        <v>560</v>
      </c>
      <c r="G10" s="22"/>
      <c r="H10" s="22"/>
      <c r="I10" s="125"/>
      <c r="J10" s="22">
        <v>26325</v>
      </c>
      <c r="K10" s="22"/>
      <c r="L10" s="22"/>
      <c r="M10" s="22"/>
      <c r="N10" s="22">
        <v>850</v>
      </c>
      <c r="O10" s="22"/>
      <c r="P10" s="22"/>
      <c r="Q10" s="22"/>
      <c r="R10" s="22">
        <v>83</v>
      </c>
      <c r="S10" s="22"/>
      <c r="T10" s="22"/>
      <c r="U10" s="22"/>
      <c r="V10" s="22">
        <v>284</v>
      </c>
      <c r="W10" s="22"/>
      <c r="X10" s="22"/>
      <c r="Y10" s="22"/>
      <c r="Z10" s="22"/>
      <c r="AA10" s="22"/>
      <c r="AB10" s="22"/>
      <c r="AC10" s="22"/>
      <c r="AD10" s="22">
        <v>3500</v>
      </c>
      <c r="AE10" s="22"/>
      <c r="AF10" s="22"/>
      <c r="AG10" s="22"/>
    </row>
    <row r="11" spans="1:33" x14ac:dyDescent="0.2">
      <c r="A11" s="1" t="s">
        <v>10</v>
      </c>
      <c r="B11" s="22">
        <v>265</v>
      </c>
      <c r="C11" s="22"/>
      <c r="D11" s="22"/>
      <c r="E11" s="22"/>
      <c r="F11" s="22">
        <v>630</v>
      </c>
      <c r="G11" s="22"/>
      <c r="H11" s="22"/>
      <c r="I11" s="125"/>
      <c r="J11" s="22">
        <v>7195</v>
      </c>
      <c r="K11" s="22"/>
      <c r="L11" s="22"/>
      <c r="M11" s="22"/>
      <c r="N11" s="22">
        <v>820</v>
      </c>
      <c r="O11" s="22"/>
      <c r="P11" s="22"/>
      <c r="Q11" s="22"/>
      <c r="R11" s="22">
        <v>83</v>
      </c>
      <c r="S11" s="22"/>
      <c r="T11" s="22"/>
      <c r="U11" s="22"/>
      <c r="V11" s="22">
        <v>304</v>
      </c>
      <c r="W11" s="22"/>
      <c r="X11" s="22"/>
      <c r="Y11" s="22"/>
      <c r="Z11" s="22"/>
      <c r="AA11" s="22"/>
      <c r="AB11" s="22"/>
      <c r="AC11" s="22"/>
      <c r="AD11" s="22">
        <v>3900</v>
      </c>
      <c r="AE11" s="22"/>
      <c r="AF11" s="22"/>
      <c r="AG11" s="22"/>
    </row>
    <row r="12" spans="1:33" x14ac:dyDescent="0.2">
      <c r="A12" s="1" t="s">
        <v>11</v>
      </c>
      <c r="B12" s="22">
        <v>281</v>
      </c>
      <c r="C12" s="22"/>
      <c r="D12" s="22"/>
      <c r="E12" s="22"/>
      <c r="F12" s="22">
        <v>600</v>
      </c>
      <c r="G12" s="22"/>
      <c r="H12" s="22"/>
      <c r="I12" s="125"/>
      <c r="J12" s="22">
        <v>7195</v>
      </c>
      <c r="K12" s="22"/>
      <c r="L12" s="22"/>
      <c r="M12" s="22"/>
      <c r="N12" s="22">
        <v>850</v>
      </c>
      <c r="O12" s="22"/>
      <c r="P12" s="22"/>
      <c r="Q12" s="22"/>
      <c r="R12" s="22">
        <v>84</v>
      </c>
      <c r="S12" s="22"/>
      <c r="T12" s="22"/>
      <c r="U12" s="22"/>
      <c r="V12" s="22">
        <v>314</v>
      </c>
      <c r="W12" s="22"/>
      <c r="X12" s="22"/>
      <c r="Y12" s="22"/>
      <c r="Z12" s="22"/>
      <c r="AA12" s="22"/>
      <c r="AB12" s="22"/>
      <c r="AC12" s="22"/>
      <c r="AD12" s="22">
        <v>4385</v>
      </c>
      <c r="AE12" s="22"/>
      <c r="AF12" s="22"/>
      <c r="AG12" s="22"/>
    </row>
    <row r="13" spans="1:33" x14ac:dyDescent="0.2">
      <c r="A13" s="1" t="s">
        <v>12</v>
      </c>
      <c r="B13" s="22">
        <v>320</v>
      </c>
      <c r="C13" s="22"/>
      <c r="D13" s="22"/>
      <c r="E13" s="22"/>
      <c r="F13" s="22">
        <v>630</v>
      </c>
      <c r="G13" s="22"/>
      <c r="H13" s="22"/>
      <c r="I13" s="125"/>
      <c r="J13" s="22">
        <v>7195</v>
      </c>
      <c r="K13" s="22"/>
      <c r="L13" s="22"/>
      <c r="M13" s="22"/>
      <c r="N13" s="22">
        <v>850</v>
      </c>
      <c r="O13" s="22"/>
      <c r="P13" s="22"/>
      <c r="Q13" s="22"/>
      <c r="R13" s="22">
        <v>84</v>
      </c>
      <c r="S13" s="22"/>
      <c r="T13" s="22"/>
      <c r="U13" s="22"/>
      <c r="V13" s="22">
        <v>324</v>
      </c>
      <c r="W13" s="22"/>
      <c r="X13" s="22"/>
      <c r="Y13" s="22"/>
      <c r="Z13" s="22"/>
      <c r="AA13" s="22"/>
      <c r="AB13" s="22"/>
      <c r="AC13" s="22"/>
      <c r="AD13" s="22">
        <v>4803</v>
      </c>
      <c r="AE13" s="22"/>
      <c r="AF13" s="22"/>
      <c r="AG13" s="22"/>
    </row>
    <row r="14" spans="1:33" x14ac:dyDescent="0.2">
      <c r="A14" s="1" t="s">
        <v>13</v>
      </c>
      <c r="B14" s="22">
        <v>340</v>
      </c>
      <c r="C14" s="22"/>
      <c r="D14" s="22"/>
      <c r="E14" s="22"/>
      <c r="F14" s="22">
        <v>650</v>
      </c>
      <c r="G14" s="22"/>
      <c r="H14" s="22"/>
      <c r="I14" s="125"/>
      <c r="J14" s="22">
        <v>7195</v>
      </c>
      <c r="K14" s="22"/>
      <c r="L14" s="22"/>
      <c r="M14" s="22"/>
      <c r="N14" s="22">
        <v>850</v>
      </c>
      <c r="O14" s="22"/>
      <c r="P14" s="22"/>
      <c r="Q14" s="22"/>
      <c r="R14" s="22">
        <v>84</v>
      </c>
      <c r="S14" s="22"/>
      <c r="T14" s="22"/>
      <c r="U14" s="22"/>
      <c r="V14" s="22">
        <v>344</v>
      </c>
      <c r="W14" s="22"/>
      <c r="X14" s="22"/>
      <c r="Y14" s="22"/>
      <c r="Z14" s="22"/>
      <c r="AA14" s="22"/>
      <c r="AB14" s="22"/>
      <c r="AC14" s="22"/>
      <c r="AD14" s="22">
        <v>4900</v>
      </c>
      <c r="AE14" s="22"/>
      <c r="AF14" s="22"/>
      <c r="AG14" s="22"/>
    </row>
    <row r="15" spans="1:33" x14ac:dyDescent="0.2">
      <c r="A15" s="1" t="s">
        <v>14</v>
      </c>
      <c r="B15" s="22">
        <v>350</v>
      </c>
      <c r="C15" s="22"/>
      <c r="D15" s="22"/>
      <c r="E15" s="22"/>
      <c r="F15" s="22">
        <v>660</v>
      </c>
      <c r="G15" s="22"/>
      <c r="H15" s="22"/>
      <c r="I15" s="125"/>
      <c r="J15" s="22">
        <v>7202</v>
      </c>
      <c r="K15" s="22"/>
      <c r="L15" s="22"/>
      <c r="M15" s="22"/>
      <c r="N15" s="22">
        <v>864</v>
      </c>
      <c r="O15" s="22"/>
      <c r="P15" s="22"/>
      <c r="Q15" s="22"/>
      <c r="R15" s="22">
        <v>84</v>
      </c>
      <c r="S15" s="22"/>
      <c r="T15" s="22"/>
      <c r="U15" s="22"/>
      <c r="V15" s="22">
        <v>344</v>
      </c>
      <c r="W15" s="22"/>
      <c r="X15" s="22"/>
      <c r="Y15" s="22"/>
      <c r="Z15" s="22"/>
      <c r="AA15" s="22"/>
      <c r="AB15" s="22"/>
      <c r="AC15" s="22"/>
      <c r="AD15" s="22">
        <v>4900</v>
      </c>
      <c r="AE15" s="22"/>
      <c r="AF15" s="22"/>
      <c r="AG15" s="22"/>
    </row>
    <row r="16" spans="1:33" x14ac:dyDescent="0.2">
      <c r="A16" s="1" t="s">
        <v>6</v>
      </c>
      <c r="B16" s="22">
        <f>SUM(B4:B15)</f>
        <v>3786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7000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73367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18022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1000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3964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  <c r="AD16" s="22">
        <f>SUM(AD4:AD15)</f>
        <v>52000</v>
      </c>
      <c r="AE16" s="22">
        <f>SUM(AE4:AE15)</f>
        <v>0</v>
      </c>
      <c r="AF16" s="22">
        <f>SUM(AF4:AF15)</f>
        <v>0</v>
      </c>
      <c r="AG16" s="22">
        <f>SUM(AG4:AG15)</f>
        <v>0</v>
      </c>
    </row>
    <row r="17" spans="1:33" x14ac:dyDescent="0.2">
      <c r="A17" s="28" t="s">
        <v>28</v>
      </c>
      <c r="B17" s="30">
        <f>B4+B5</f>
        <v>645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1030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3420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3886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166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720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  <c r="AD17" s="30">
        <f>AD4+AD5</f>
        <v>8488</v>
      </c>
      <c r="AE17" s="30">
        <f>AE4+AE5</f>
        <v>0</v>
      </c>
      <c r="AF17" s="30">
        <f>AF4+AF5</f>
        <v>0</v>
      </c>
      <c r="AG17" s="30">
        <f>AG4+AG5</f>
        <v>0</v>
      </c>
    </row>
    <row r="18" spans="1:33" x14ac:dyDescent="0.2">
      <c r="A18" s="28"/>
      <c r="B18" s="30">
        <f t="shared" ref="B18:AC27" si="2">B17+B6</f>
        <v>1013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1590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5430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6111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249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1070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ref="AD18:AG27" si="3">AD17+AD6</f>
        <v>12665</v>
      </c>
      <c r="AE18" s="30">
        <f t="shared" si="3"/>
        <v>0</v>
      </c>
      <c r="AF18" s="30">
        <f t="shared" si="3"/>
        <v>0</v>
      </c>
      <c r="AG18" s="30">
        <f t="shared" si="3"/>
        <v>0</v>
      </c>
    </row>
    <row r="19" spans="1:33" x14ac:dyDescent="0.2">
      <c r="A19" s="28" t="s">
        <v>29</v>
      </c>
      <c r="B19" s="30">
        <f t="shared" si="2"/>
        <v>1365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2150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7440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8424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332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1410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  <c r="AD19" s="30">
        <f t="shared" si="3"/>
        <v>17259</v>
      </c>
      <c r="AE19" s="30">
        <f t="shared" si="3"/>
        <v>0</v>
      </c>
      <c r="AF19" s="30">
        <f t="shared" si="3"/>
        <v>0</v>
      </c>
      <c r="AG19" s="30">
        <f t="shared" si="3"/>
        <v>0</v>
      </c>
    </row>
    <row r="20" spans="1:33" x14ac:dyDescent="0.2">
      <c r="A20" s="28" t="s">
        <v>30</v>
      </c>
      <c r="B20" s="30">
        <f t="shared" si="2"/>
        <v>1670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2710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9350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10980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415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1740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  <c r="AD20" s="30">
        <f t="shared" si="3"/>
        <v>21644</v>
      </c>
      <c r="AE20" s="30">
        <f t="shared" si="3"/>
        <v>0</v>
      </c>
      <c r="AF20" s="30">
        <f t="shared" si="3"/>
        <v>0</v>
      </c>
      <c r="AG20" s="30">
        <f t="shared" si="3"/>
        <v>0</v>
      </c>
    </row>
    <row r="21" spans="1:33" x14ac:dyDescent="0.2">
      <c r="A21" s="28" t="s">
        <v>31</v>
      </c>
      <c r="B21" s="30">
        <f t="shared" si="2"/>
        <v>1955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3270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11060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12938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498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2050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  <c r="AD21" s="30">
        <f t="shared" si="3"/>
        <v>25612</v>
      </c>
      <c r="AE21" s="30">
        <f t="shared" si="3"/>
        <v>0</v>
      </c>
      <c r="AF21" s="30">
        <f t="shared" si="3"/>
        <v>0</v>
      </c>
      <c r="AG21" s="30">
        <f t="shared" si="3"/>
        <v>0</v>
      </c>
    </row>
    <row r="22" spans="1:33" x14ac:dyDescent="0.2">
      <c r="A22" s="28" t="s">
        <v>32</v>
      </c>
      <c r="B22" s="30">
        <f t="shared" si="2"/>
        <v>2230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3830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37385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13788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581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2334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  <c r="AD22" s="30">
        <f t="shared" si="3"/>
        <v>29112</v>
      </c>
      <c r="AE22" s="30">
        <f t="shared" si="3"/>
        <v>0</v>
      </c>
      <c r="AF22" s="30">
        <f t="shared" si="3"/>
        <v>0</v>
      </c>
      <c r="AG22" s="30">
        <f t="shared" si="3"/>
        <v>0</v>
      </c>
    </row>
    <row r="23" spans="1:33" x14ac:dyDescent="0.2">
      <c r="A23" s="28" t="s">
        <v>33</v>
      </c>
      <c r="B23" s="30">
        <f t="shared" si="2"/>
        <v>2495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4460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44580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14608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664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2638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  <c r="AD23" s="30">
        <f t="shared" si="3"/>
        <v>33012</v>
      </c>
      <c r="AE23" s="30">
        <f t="shared" si="3"/>
        <v>0</v>
      </c>
      <c r="AF23" s="30">
        <f t="shared" si="3"/>
        <v>0</v>
      </c>
      <c r="AG23" s="30">
        <f t="shared" si="3"/>
        <v>0</v>
      </c>
    </row>
    <row r="24" spans="1:33" x14ac:dyDescent="0.2">
      <c r="A24" s="28" t="s">
        <v>34</v>
      </c>
      <c r="B24" s="30">
        <f t="shared" si="2"/>
        <v>2776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5060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51775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15458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748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2952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  <c r="AD24" s="30">
        <f t="shared" si="3"/>
        <v>37397</v>
      </c>
      <c r="AE24" s="30">
        <f t="shared" si="3"/>
        <v>0</v>
      </c>
      <c r="AF24" s="30">
        <f t="shared" si="3"/>
        <v>0</v>
      </c>
      <c r="AG24" s="30">
        <f t="shared" si="3"/>
        <v>0</v>
      </c>
    </row>
    <row r="25" spans="1:33" x14ac:dyDescent="0.2">
      <c r="A25" s="29" t="s">
        <v>35</v>
      </c>
      <c r="B25" s="30">
        <f t="shared" si="2"/>
        <v>3096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5690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58970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16308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832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3276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  <c r="AD25" s="30">
        <f t="shared" si="3"/>
        <v>42200</v>
      </c>
      <c r="AE25" s="30">
        <f t="shared" si="3"/>
        <v>0</v>
      </c>
      <c r="AF25" s="30">
        <f t="shared" si="3"/>
        <v>0</v>
      </c>
      <c r="AG25" s="30">
        <f t="shared" si="3"/>
        <v>0</v>
      </c>
    </row>
    <row r="26" spans="1:33" x14ac:dyDescent="0.2">
      <c r="A26" s="29" t="s">
        <v>36</v>
      </c>
      <c r="B26" s="30">
        <f t="shared" si="2"/>
        <v>3436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6340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66165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17158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916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3620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  <c r="AD26" s="30">
        <f t="shared" si="3"/>
        <v>47100</v>
      </c>
      <c r="AE26" s="30">
        <f t="shared" si="3"/>
        <v>0</v>
      </c>
      <c r="AF26" s="30">
        <f t="shared" si="3"/>
        <v>0</v>
      </c>
      <c r="AG26" s="30">
        <f t="shared" si="3"/>
        <v>0</v>
      </c>
    </row>
    <row r="27" spans="1:33" x14ac:dyDescent="0.2">
      <c r="A27" s="12" t="s">
        <v>15</v>
      </c>
      <c r="B27" s="32">
        <f t="shared" si="2"/>
        <v>3786</v>
      </c>
      <c r="C27" s="32">
        <f t="shared" si="2"/>
        <v>0</v>
      </c>
      <c r="D27" s="32">
        <f t="shared" si="2"/>
        <v>0</v>
      </c>
      <c r="E27" s="32">
        <f t="shared" ref="E27:AC27" si="4">E26+E15</f>
        <v>0</v>
      </c>
      <c r="F27" s="32">
        <f t="shared" si="4"/>
        <v>7000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73367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18022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1000</v>
      </c>
      <c r="S27" s="32">
        <f t="shared" si="4"/>
        <v>0</v>
      </c>
      <c r="T27" s="32">
        <f t="shared" si="4"/>
        <v>0</v>
      </c>
      <c r="U27" s="32">
        <f t="shared" si="4"/>
        <v>0</v>
      </c>
      <c r="V27" s="32">
        <f t="shared" si="4"/>
        <v>3964</v>
      </c>
      <c r="W27" s="32">
        <f t="shared" si="4"/>
        <v>0</v>
      </c>
      <c r="X27" s="32">
        <f t="shared" si="4"/>
        <v>0</v>
      </c>
      <c r="Y27" s="32">
        <f t="shared" si="4"/>
        <v>0</v>
      </c>
      <c r="Z27" s="32">
        <f t="shared" si="4"/>
        <v>0</v>
      </c>
      <c r="AA27" s="32">
        <f t="shared" si="4"/>
        <v>0</v>
      </c>
      <c r="AB27" s="32">
        <f t="shared" si="4"/>
        <v>0</v>
      </c>
      <c r="AC27" s="32">
        <f t="shared" si="4"/>
        <v>0</v>
      </c>
      <c r="AD27" s="32">
        <f t="shared" si="3"/>
        <v>52000</v>
      </c>
      <c r="AE27" s="32">
        <f t="shared" si="3"/>
        <v>0</v>
      </c>
      <c r="AF27" s="32">
        <f t="shared" si="3"/>
        <v>0</v>
      </c>
      <c r="AG27" s="32">
        <f t="shared" si="3"/>
        <v>0</v>
      </c>
    </row>
  </sheetData>
  <mergeCells count="10">
    <mergeCell ref="AE2:AG2"/>
    <mergeCell ref="K2:M2"/>
    <mergeCell ref="B1:D1"/>
    <mergeCell ref="F1:H1"/>
    <mergeCell ref="C2:E2"/>
    <mergeCell ref="G2:I2"/>
    <mergeCell ref="O2:Q2"/>
    <mergeCell ref="S2:U2"/>
    <mergeCell ref="W2:Y2"/>
    <mergeCell ref="AA2:AC2"/>
  </mergeCells>
  <phoneticPr fontId="0" type="noConversion"/>
  <pageMargins left="0.75" right="0.75" top="1" bottom="1" header="0.5" footer="0.5"/>
  <pageSetup paperSize="9" scale="3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10.5703125" hidden="1" customWidth="1"/>
    <col min="7" max="7" width="11" bestFit="1" customWidth="1"/>
    <col min="8" max="8" width="10.85546875" bestFit="1" customWidth="1"/>
    <col min="9" max="9" width="10.85546875" customWidth="1"/>
    <col min="12" max="12" width="10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192</v>
      </c>
      <c r="P1" s="119"/>
      <c r="R1" s="19"/>
      <c r="S1" s="118" t="s">
        <v>193</v>
      </c>
      <c r="T1" s="119"/>
      <c r="W1" t="s">
        <v>188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59" t="s">
        <v>25</v>
      </c>
      <c r="H2" s="358"/>
      <c r="I2" s="362"/>
      <c r="J2" s="2" t="s">
        <v>6</v>
      </c>
      <c r="K2" s="358" t="s">
        <v>25</v>
      </c>
      <c r="L2" s="358"/>
      <c r="M2" s="362"/>
      <c r="N2" s="2" t="s">
        <v>6</v>
      </c>
      <c r="O2" s="358" t="s">
        <v>25</v>
      </c>
      <c r="P2" s="358"/>
      <c r="Q2" s="362"/>
      <c r="R2" s="2" t="s">
        <v>6</v>
      </c>
      <c r="S2" s="358" t="s">
        <v>25</v>
      </c>
      <c r="T2" s="358"/>
      <c r="U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 t="s">
        <v>127</v>
      </c>
      <c r="J3" s="4"/>
      <c r="K3" s="17" t="s">
        <v>27</v>
      </c>
      <c r="L3" s="15" t="s">
        <v>26</v>
      </c>
      <c r="M3" s="121" t="s">
        <v>127</v>
      </c>
      <c r="N3" s="4"/>
      <c r="O3" s="17" t="s">
        <v>27</v>
      </c>
      <c r="P3" s="15" t="s">
        <v>26</v>
      </c>
      <c r="Q3" s="121" t="s">
        <v>127</v>
      </c>
      <c r="R3" s="4"/>
      <c r="S3" s="17" t="s">
        <v>27</v>
      </c>
      <c r="T3" s="15" t="s">
        <v>26</v>
      </c>
      <c r="U3" s="121" t="s">
        <v>127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v>1466</v>
      </c>
      <c r="G4" s="22"/>
      <c r="H4" s="22"/>
      <c r="I4" s="22"/>
      <c r="J4" s="22">
        <v>5357</v>
      </c>
      <c r="K4" s="22"/>
      <c r="L4" s="22"/>
      <c r="M4" s="124"/>
      <c r="N4" s="22">
        <v>6122</v>
      </c>
      <c r="O4" s="22"/>
      <c r="P4" s="22"/>
      <c r="Q4" s="124"/>
      <c r="R4" s="22">
        <v>1511</v>
      </c>
      <c r="S4" s="22"/>
      <c r="T4" s="22"/>
      <c r="U4" s="124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v>1466</v>
      </c>
      <c r="G5" s="22"/>
      <c r="H5" s="22"/>
      <c r="I5" s="22"/>
      <c r="J5" s="22">
        <v>5359</v>
      </c>
      <c r="K5" s="22"/>
      <c r="L5" s="22"/>
      <c r="M5" s="124"/>
      <c r="N5" s="22">
        <v>6122</v>
      </c>
      <c r="O5" s="22"/>
      <c r="P5" s="22"/>
      <c r="Q5" s="124"/>
      <c r="R5" s="22">
        <v>1511</v>
      </c>
      <c r="S5" s="22"/>
      <c r="T5" s="22"/>
      <c r="U5" s="124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v>1466</v>
      </c>
      <c r="G6" s="22"/>
      <c r="H6" s="22"/>
      <c r="I6" s="22"/>
      <c r="J6" s="22">
        <v>5357</v>
      </c>
      <c r="K6" s="22"/>
      <c r="L6" s="22"/>
      <c r="M6" s="124"/>
      <c r="N6" s="22">
        <v>6122</v>
      </c>
      <c r="O6" s="22"/>
      <c r="P6" s="22"/>
      <c r="Q6" s="124"/>
      <c r="R6" s="22">
        <v>1511</v>
      </c>
      <c r="S6" s="22"/>
      <c r="T6" s="22"/>
      <c r="U6" s="124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v>1466</v>
      </c>
      <c r="G7" s="22"/>
      <c r="H7" s="22"/>
      <c r="I7" s="22"/>
      <c r="J7" s="22">
        <v>5357</v>
      </c>
      <c r="K7" s="22"/>
      <c r="L7" s="22"/>
      <c r="M7" s="124"/>
      <c r="N7" s="22">
        <v>6122</v>
      </c>
      <c r="O7" s="22"/>
      <c r="P7" s="22"/>
      <c r="Q7" s="124"/>
      <c r="R7" s="22">
        <v>1509</v>
      </c>
      <c r="S7" s="22"/>
      <c r="T7" s="22"/>
      <c r="U7" s="124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v>1466</v>
      </c>
      <c r="G8" s="22"/>
      <c r="H8" s="22"/>
      <c r="I8" s="22"/>
      <c r="J8" s="22">
        <v>5357</v>
      </c>
      <c r="K8" s="22"/>
      <c r="L8" s="22"/>
      <c r="M8" s="124"/>
      <c r="N8" s="22">
        <v>6122</v>
      </c>
      <c r="O8" s="22"/>
      <c r="P8" s="22"/>
      <c r="Q8" s="124"/>
      <c r="R8" s="22">
        <v>1509</v>
      </c>
      <c r="S8" s="22"/>
      <c r="T8" s="22"/>
      <c r="U8" s="124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v>1466</v>
      </c>
      <c r="G9" s="22"/>
      <c r="H9" s="22"/>
      <c r="I9" s="22"/>
      <c r="J9" s="22">
        <v>5391</v>
      </c>
      <c r="K9" s="22"/>
      <c r="L9" s="22"/>
      <c r="M9" s="124"/>
      <c r="N9" s="22">
        <v>6131</v>
      </c>
      <c r="O9" s="22"/>
      <c r="P9" s="22"/>
      <c r="Q9" s="124"/>
      <c r="R9" s="22">
        <v>1509</v>
      </c>
      <c r="S9" s="22"/>
      <c r="T9" s="22"/>
      <c r="U9" s="124"/>
    </row>
    <row r="10" spans="1:27" x14ac:dyDescent="0.2">
      <c r="A10" s="82" t="s">
        <v>19</v>
      </c>
      <c r="B10" s="104">
        <f t="shared" si="0"/>
        <v>0</v>
      </c>
      <c r="C10" s="84"/>
      <c r="D10" s="84"/>
      <c r="E10" s="84"/>
      <c r="F10" s="22">
        <v>1466</v>
      </c>
      <c r="G10" s="22"/>
      <c r="H10" s="22"/>
      <c r="I10" s="22"/>
      <c r="J10" s="22">
        <v>10747</v>
      </c>
      <c r="K10" s="22"/>
      <c r="L10" s="22"/>
      <c r="M10" s="124"/>
      <c r="N10" s="22">
        <v>2781</v>
      </c>
      <c r="O10" s="22"/>
      <c r="P10" s="22"/>
      <c r="Q10" s="124"/>
      <c r="R10" s="22">
        <v>1423</v>
      </c>
      <c r="S10" s="22"/>
      <c r="T10" s="22"/>
      <c r="U10" s="124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v>1466</v>
      </c>
      <c r="G11" s="22"/>
      <c r="H11" s="22"/>
      <c r="I11" s="22"/>
      <c r="J11" s="22">
        <v>10747</v>
      </c>
      <c r="K11" s="22"/>
      <c r="L11" s="22"/>
      <c r="M11" s="124"/>
      <c r="N11" s="22">
        <v>2781</v>
      </c>
      <c r="O11" s="22"/>
      <c r="P11" s="22"/>
      <c r="Q11" s="124"/>
      <c r="R11" s="22">
        <v>1423</v>
      </c>
      <c r="S11" s="22"/>
      <c r="T11" s="22"/>
      <c r="U11" s="124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v>1466</v>
      </c>
      <c r="G12" s="22"/>
      <c r="H12" s="22"/>
      <c r="I12" s="22"/>
      <c r="J12" s="22">
        <v>10747</v>
      </c>
      <c r="K12" s="22"/>
      <c r="L12" s="22"/>
      <c r="M12" s="124"/>
      <c r="N12" s="22">
        <v>2781</v>
      </c>
      <c r="O12" s="22"/>
      <c r="P12" s="22"/>
      <c r="Q12" s="124"/>
      <c r="R12" s="22">
        <v>1423</v>
      </c>
      <c r="S12" s="22"/>
      <c r="T12" s="22"/>
      <c r="U12" s="124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v>1466</v>
      </c>
      <c r="G13" s="22"/>
      <c r="H13" s="22"/>
      <c r="I13" s="22"/>
      <c r="J13" s="22">
        <v>10747</v>
      </c>
      <c r="K13" s="22"/>
      <c r="L13" s="22"/>
      <c r="M13" s="124"/>
      <c r="N13" s="22">
        <v>2781</v>
      </c>
      <c r="O13" s="22"/>
      <c r="P13" s="22"/>
      <c r="Q13" s="124"/>
      <c r="R13" s="22">
        <v>1423</v>
      </c>
      <c r="S13" s="22"/>
      <c r="T13" s="22"/>
      <c r="U13" s="124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v>1474</v>
      </c>
      <c r="G14" s="22"/>
      <c r="H14" s="22"/>
      <c r="I14" s="22"/>
      <c r="J14" s="22">
        <v>10747</v>
      </c>
      <c r="K14" s="22"/>
      <c r="L14" s="22"/>
      <c r="M14" s="124"/>
      <c r="N14" s="22">
        <v>2781</v>
      </c>
      <c r="O14" s="22"/>
      <c r="P14" s="22"/>
      <c r="Q14" s="124"/>
      <c r="R14" s="22">
        <v>1417</v>
      </c>
      <c r="S14" s="22"/>
      <c r="T14" s="22"/>
      <c r="U14" s="124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v>1266</v>
      </c>
      <c r="G15" s="22"/>
      <c r="H15" s="22"/>
      <c r="I15" s="22"/>
      <c r="J15" s="22">
        <v>10775</v>
      </c>
      <c r="K15" s="22"/>
      <c r="L15" s="22"/>
      <c r="M15" s="124"/>
      <c r="N15" s="22">
        <v>2801</v>
      </c>
      <c r="O15" s="22"/>
      <c r="P15" s="22"/>
      <c r="Q15" s="124"/>
      <c r="R15" s="22">
        <v>1401</v>
      </c>
      <c r="S15" s="22"/>
      <c r="T15" s="22"/>
      <c r="U15" s="124"/>
    </row>
    <row r="16" spans="1:27" x14ac:dyDescent="0.2">
      <c r="A16" s="1" t="s">
        <v>6</v>
      </c>
      <c r="B16" s="22">
        <f t="shared" ref="B16:M16" si="1">SUM(B4:B15)</f>
        <v>0</v>
      </c>
      <c r="C16" s="22">
        <f t="shared" si="1"/>
        <v>0</v>
      </c>
      <c r="D16" s="22">
        <f t="shared" si="1"/>
        <v>0</v>
      </c>
      <c r="E16" s="22"/>
      <c r="F16" s="22">
        <f t="shared" si="1"/>
        <v>17400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96688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ref="N16:U16" si="2">SUM(N4:N15)</f>
        <v>53447</v>
      </c>
      <c r="O16" s="22">
        <f t="shared" si="2"/>
        <v>0</v>
      </c>
      <c r="P16" s="22">
        <f t="shared" si="2"/>
        <v>0</v>
      </c>
      <c r="Q16" s="22">
        <f t="shared" si="2"/>
        <v>0</v>
      </c>
      <c r="R16" s="22">
        <f t="shared" si="2"/>
        <v>17570</v>
      </c>
      <c r="S16" s="22">
        <f t="shared" si="2"/>
        <v>0</v>
      </c>
      <c r="T16" s="22">
        <f t="shared" si="2"/>
        <v>0</v>
      </c>
      <c r="U16" s="22">
        <f t="shared" si="2"/>
        <v>0</v>
      </c>
    </row>
    <row r="17" spans="1:21" x14ac:dyDescent="0.2">
      <c r="A17" s="28" t="s">
        <v>28</v>
      </c>
      <c r="B17" s="30">
        <f t="shared" ref="B17:L17" si="3">B4+B5</f>
        <v>0</v>
      </c>
      <c r="C17" s="30">
        <f t="shared" si="3"/>
        <v>0</v>
      </c>
      <c r="D17" s="30">
        <f t="shared" si="3"/>
        <v>0</v>
      </c>
      <c r="E17" s="30"/>
      <c r="F17" s="30">
        <f t="shared" si="3"/>
        <v>2932</v>
      </c>
      <c r="G17" s="30">
        <f t="shared" si="3"/>
        <v>0</v>
      </c>
      <c r="H17" s="30">
        <f t="shared" si="3"/>
        <v>0</v>
      </c>
      <c r="I17" s="30">
        <f>I4+I5</f>
        <v>0</v>
      </c>
      <c r="J17" s="30">
        <f t="shared" si="3"/>
        <v>10716</v>
      </c>
      <c r="K17" s="30">
        <f t="shared" si="3"/>
        <v>0</v>
      </c>
      <c r="L17" s="30">
        <f t="shared" si="3"/>
        <v>0</v>
      </c>
      <c r="M17" s="30">
        <f t="shared" ref="M17:U17" si="4">M4+M5</f>
        <v>0</v>
      </c>
      <c r="N17" s="30">
        <f t="shared" si="4"/>
        <v>12244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4"/>
        <v>3022</v>
      </c>
      <c r="S17" s="30">
        <f t="shared" si="4"/>
        <v>0</v>
      </c>
      <c r="T17" s="30">
        <f t="shared" si="4"/>
        <v>0</v>
      </c>
      <c r="U17" s="30">
        <f t="shared" si="4"/>
        <v>0</v>
      </c>
    </row>
    <row r="18" spans="1:21" x14ac:dyDescent="0.2">
      <c r="A18" s="28" t="s">
        <v>37</v>
      </c>
      <c r="B18" s="30">
        <f t="shared" ref="B18:B27" si="5">B17+B6</f>
        <v>0</v>
      </c>
      <c r="C18" s="30">
        <f t="shared" ref="C18:C27" si="6">C17+C6</f>
        <v>0</v>
      </c>
      <c r="D18" s="30">
        <f t="shared" ref="D18:D27" si="7">D17+D6</f>
        <v>0</v>
      </c>
      <c r="E18" s="30"/>
      <c r="F18" s="30">
        <f t="shared" ref="F18:F27" si="8">F17+F6</f>
        <v>4398</v>
      </c>
      <c r="G18" s="30">
        <f t="shared" ref="G18:G27" si="9">G17+G6</f>
        <v>0</v>
      </c>
      <c r="H18" s="30">
        <f t="shared" ref="H18:I27" si="10">H17+H6</f>
        <v>0</v>
      </c>
      <c r="I18" s="30">
        <f t="shared" si="10"/>
        <v>0</v>
      </c>
      <c r="J18" s="30">
        <f t="shared" ref="J18:J27" si="11">J17+J6</f>
        <v>16073</v>
      </c>
      <c r="K18" s="30">
        <f t="shared" ref="K18:K27" si="12">K17+K6</f>
        <v>0</v>
      </c>
      <c r="L18" s="30">
        <f t="shared" ref="L18:M27" si="13">L17+L6</f>
        <v>0</v>
      </c>
      <c r="M18" s="30">
        <f t="shared" si="13"/>
        <v>0</v>
      </c>
      <c r="N18" s="30">
        <f t="shared" ref="N18:N27" si="14">N17+N6</f>
        <v>18366</v>
      </c>
      <c r="O18" s="30">
        <f t="shared" ref="O18:O27" si="15">O17+O6</f>
        <v>0</v>
      </c>
      <c r="P18" s="30">
        <f t="shared" ref="P18:P27" si="16">P17+P6</f>
        <v>0</v>
      </c>
      <c r="Q18" s="30">
        <f t="shared" ref="Q18:Q27" si="17">Q17+Q6</f>
        <v>0</v>
      </c>
      <c r="R18" s="30">
        <f t="shared" ref="R18:R27" si="18">R17+R6</f>
        <v>4533</v>
      </c>
      <c r="S18" s="30">
        <f t="shared" ref="S18:S27" si="19">S17+S6</f>
        <v>0</v>
      </c>
      <c r="T18" s="30">
        <f t="shared" ref="T18:T27" si="20">T17+T6</f>
        <v>0</v>
      </c>
      <c r="U18" s="30">
        <f t="shared" ref="U18:U27" si="21">U17+U6</f>
        <v>0</v>
      </c>
    </row>
    <row r="19" spans="1:21" x14ac:dyDescent="0.2">
      <c r="A19" s="28" t="s">
        <v>29</v>
      </c>
      <c r="B19" s="30">
        <f t="shared" si="5"/>
        <v>0</v>
      </c>
      <c r="C19" s="30">
        <f t="shared" si="6"/>
        <v>0</v>
      </c>
      <c r="D19" s="30">
        <f t="shared" si="7"/>
        <v>0</v>
      </c>
      <c r="E19" s="30"/>
      <c r="F19" s="30">
        <f t="shared" si="8"/>
        <v>5864</v>
      </c>
      <c r="G19" s="30">
        <f t="shared" si="9"/>
        <v>0</v>
      </c>
      <c r="H19" s="30">
        <f t="shared" si="10"/>
        <v>0</v>
      </c>
      <c r="I19" s="30">
        <f t="shared" si="10"/>
        <v>0</v>
      </c>
      <c r="J19" s="30">
        <f t="shared" si="11"/>
        <v>21430</v>
      </c>
      <c r="K19" s="30">
        <f t="shared" si="12"/>
        <v>0</v>
      </c>
      <c r="L19" s="30">
        <f t="shared" si="13"/>
        <v>0</v>
      </c>
      <c r="M19" s="30">
        <f t="shared" si="13"/>
        <v>0</v>
      </c>
      <c r="N19" s="30">
        <f t="shared" si="14"/>
        <v>24488</v>
      </c>
      <c r="O19" s="30">
        <f t="shared" si="15"/>
        <v>0</v>
      </c>
      <c r="P19" s="30">
        <f t="shared" si="16"/>
        <v>0</v>
      </c>
      <c r="Q19" s="30">
        <f t="shared" si="17"/>
        <v>0</v>
      </c>
      <c r="R19" s="30">
        <f t="shared" si="18"/>
        <v>6042</v>
      </c>
      <c r="S19" s="30">
        <f t="shared" si="19"/>
        <v>0</v>
      </c>
      <c r="T19" s="30">
        <f t="shared" si="20"/>
        <v>0</v>
      </c>
      <c r="U19" s="30">
        <f t="shared" si="21"/>
        <v>0</v>
      </c>
    </row>
    <row r="20" spans="1:21" x14ac:dyDescent="0.2">
      <c r="A20" s="28" t="s">
        <v>30</v>
      </c>
      <c r="B20" s="30">
        <f t="shared" si="5"/>
        <v>0</v>
      </c>
      <c r="C20" s="30">
        <f t="shared" si="6"/>
        <v>0</v>
      </c>
      <c r="D20" s="30">
        <f t="shared" si="7"/>
        <v>0</v>
      </c>
      <c r="E20" s="30"/>
      <c r="F20" s="30">
        <f t="shared" si="8"/>
        <v>7330</v>
      </c>
      <c r="G20" s="30">
        <f t="shared" si="9"/>
        <v>0</v>
      </c>
      <c r="H20" s="30">
        <f t="shared" si="10"/>
        <v>0</v>
      </c>
      <c r="I20" s="30">
        <f t="shared" si="10"/>
        <v>0</v>
      </c>
      <c r="J20" s="30">
        <f t="shared" si="11"/>
        <v>26787</v>
      </c>
      <c r="K20" s="30">
        <f t="shared" si="12"/>
        <v>0</v>
      </c>
      <c r="L20" s="30">
        <f t="shared" si="13"/>
        <v>0</v>
      </c>
      <c r="M20" s="30">
        <f t="shared" si="13"/>
        <v>0</v>
      </c>
      <c r="N20" s="30">
        <f t="shared" si="14"/>
        <v>30610</v>
      </c>
      <c r="O20" s="30">
        <f t="shared" si="15"/>
        <v>0</v>
      </c>
      <c r="P20" s="30">
        <f t="shared" si="16"/>
        <v>0</v>
      </c>
      <c r="Q20" s="30">
        <f t="shared" si="17"/>
        <v>0</v>
      </c>
      <c r="R20" s="30">
        <f t="shared" si="18"/>
        <v>7551</v>
      </c>
      <c r="S20" s="30">
        <f t="shared" si="19"/>
        <v>0</v>
      </c>
      <c r="T20" s="30">
        <f t="shared" si="20"/>
        <v>0</v>
      </c>
      <c r="U20" s="30">
        <f t="shared" si="21"/>
        <v>0</v>
      </c>
    </row>
    <row r="21" spans="1:21" x14ac:dyDescent="0.2">
      <c r="A21" s="28" t="s">
        <v>31</v>
      </c>
      <c r="B21" s="30">
        <f t="shared" si="5"/>
        <v>0</v>
      </c>
      <c r="C21" s="30">
        <f t="shared" si="6"/>
        <v>0</v>
      </c>
      <c r="D21" s="30">
        <f t="shared" si="7"/>
        <v>0</v>
      </c>
      <c r="E21" s="30"/>
      <c r="F21" s="30">
        <f t="shared" si="8"/>
        <v>8796</v>
      </c>
      <c r="G21" s="30">
        <f t="shared" si="9"/>
        <v>0</v>
      </c>
      <c r="H21" s="30">
        <f t="shared" si="10"/>
        <v>0</v>
      </c>
      <c r="I21" s="30">
        <f t="shared" si="10"/>
        <v>0</v>
      </c>
      <c r="J21" s="30">
        <f t="shared" si="11"/>
        <v>32178</v>
      </c>
      <c r="K21" s="30">
        <f t="shared" si="12"/>
        <v>0</v>
      </c>
      <c r="L21" s="30">
        <f t="shared" si="13"/>
        <v>0</v>
      </c>
      <c r="M21" s="30">
        <f t="shared" si="13"/>
        <v>0</v>
      </c>
      <c r="N21" s="30">
        <f t="shared" si="14"/>
        <v>36741</v>
      </c>
      <c r="O21" s="30">
        <f t="shared" si="15"/>
        <v>0</v>
      </c>
      <c r="P21" s="30">
        <f t="shared" si="16"/>
        <v>0</v>
      </c>
      <c r="Q21" s="30">
        <f t="shared" si="17"/>
        <v>0</v>
      </c>
      <c r="R21" s="30">
        <f t="shared" si="18"/>
        <v>9060</v>
      </c>
      <c r="S21" s="30">
        <f t="shared" si="19"/>
        <v>0</v>
      </c>
      <c r="T21" s="30">
        <f t="shared" si="20"/>
        <v>0</v>
      </c>
      <c r="U21" s="30">
        <f t="shared" si="21"/>
        <v>0</v>
      </c>
    </row>
    <row r="22" spans="1:21" x14ac:dyDescent="0.2">
      <c r="A22" s="28" t="s">
        <v>32</v>
      </c>
      <c r="B22" s="30">
        <f t="shared" si="5"/>
        <v>0</v>
      </c>
      <c r="C22" s="30">
        <f t="shared" si="6"/>
        <v>0</v>
      </c>
      <c r="D22" s="30">
        <f t="shared" si="7"/>
        <v>0</v>
      </c>
      <c r="E22" s="30"/>
      <c r="F22" s="30">
        <f t="shared" si="8"/>
        <v>10262</v>
      </c>
      <c r="G22" s="30">
        <f t="shared" si="9"/>
        <v>0</v>
      </c>
      <c r="H22" s="30">
        <f t="shared" si="10"/>
        <v>0</v>
      </c>
      <c r="I22" s="30">
        <f t="shared" si="10"/>
        <v>0</v>
      </c>
      <c r="J22" s="30">
        <f t="shared" si="11"/>
        <v>42925</v>
      </c>
      <c r="K22" s="30">
        <f t="shared" si="12"/>
        <v>0</v>
      </c>
      <c r="L22" s="30">
        <f t="shared" si="13"/>
        <v>0</v>
      </c>
      <c r="M22" s="30">
        <f t="shared" si="13"/>
        <v>0</v>
      </c>
      <c r="N22" s="30">
        <f t="shared" si="14"/>
        <v>39522</v>
      </c>
      <c r="O22" s="30">
        <f t="shared" si="15"/>
        <v>0</v>
      </c>
      <c r="P22" s="30">
        <f t="shared" si="16"/>
        <v>0</v>
      </c>
      <c r="Q22" s="30">
        <f t="shared" si="17"/>
        <v>0</v>
      </c>
      <c r="R22" s="30">
        <f t="shared" si="18"/>
        <v>10483</v>
      </c>
      <c r="S22" s="30">
        <f t="shared" si="19"/>
        <v>0</v>
      </c>
      <c r="T22" s="30">
        <f t="shared" si="20"/>
        <v>0</v>
      </c>
      <c r="U22" s="30">
        <f t="shared" si="21"/>
        <v>0</v>
      </c>
    </row>
    <row r="23" spans="1:21" x14ac:dyDescent="0.2">
      <c r="A23" s="28" t="s">
        <v>33</v>
      </c>
      <c r="B23" s="30">
        <f t="shared" si="5"/>
        <v>0</v>
      </c>
      <c r="C23" s="30">
        <f t="shared" si="6"/>
        <v>0</v>
      </c>
      <c r="D23" s="30">
        <f t="shared" si="7"/>
        <v>0</v>
      </c>
      <c r="E23" s="30"/>
      <c r="F23" s="30">
        <f t="shared" si="8"/>
        <v>11728</v>
      </c>
      <c r="G23" s="30">
        <f t="shared" si="9"/>
        <v>0</v>
      </c>
      <c r="H23" s="30">
        <f t="shared" si="10"/>
        <v>0</v>
      </c>
      <c r="I23" s="30">
        <f t="shared" si="10"/>
        <v>0</v>
      </c>
      <c r="J23" s="30">
        <f t="shared" si="11"/>
        <v>53672</v>
      </c>
      <c r="K23" s="30">
        <f t="shared" si="12"/>
        <v>0</v>
      </c>
      <c r="L23" s="30">
        <f t="shared" si="13"/>
        <v>0</v>
      </c>
      <c r="M23" s="30">
        <f t="shared" si="13"/>
        <v>0</v>
      </c>
      <c r="N23" s="30">
        <f t="shared" si="14"/>
        <v>42303</v>
      </c>
      <c r="O23" s="30">
        <f t="shared" si="15"/>
        <v>0</v>
      </c>
      <c r="P23" s="30">
        <f t="shared" si="16"/>
        <v>0</v>
      </c>
      <c r="Q23" s="30">
        <f t="shared" si="17"/>
        <v>0</v>
      </c>
      <c r="R23" s="30">
        <f t="shared" si="18"/>
        <v>11906</v>
      </c>
      <c r="S23" s="30">
        <f t="shared" si="19"/>
        <v>0</v>
      </c>
      <c r="T23" s="30">
        <f t="shared" si="20"/>
        <v>0</v>
      </c>
      <c r="U23" s="30">
        <f t="shared" si="21"/>
        <v>0</v>
      </c>
    </row>
    <row r="24" spans="1:21" x14ac:dyDescent="0.2">
      <c r="A24" s="28" t="s">
        <v>34</v>
      </c>
      <c r="B24" s="30">
        <f t="shared" si="5"/>
        <v>0</v>
      </c>
      <c r="C24" s="30">
        <f t="shared" si="6"/>
        <v>0</v>
      </c>
      <c r="D24" s="30">
        <f t="shared" si="7"/>
        <v>0</v>
      </c>
      <c r="E24" s="30"/>
      <c r="F24" s="30">
        <f t="shared" si="8"/>
        <v>13194</v>
      </c>
      <c r="G24" s="30">
        <f t="shared" si="9"/>
        <v>0</v>
      </c>
      <c r="H24" s="30">
        <f t="shared" si="10"/>
        <v>0</v>
      </c>
      <c r="I24" s="30">
        <f t="shared" si="10"/>
        <v>0</v>
      </c>
      <c r="J24" s="30">
        <f t="shared" si="11"/>
        <v>64419</v>
      </c>
      <c r="K24" s="30">
        <f t="shared" si="12"/>
        <v>0</v>
      </c>
      <c r="L24" s="30">
        <f t="shared" si="13"/>
        <v>0</v>
      </c>
      <c r="M24" s="30">
        <f t="shared" si="13"/>
        <v>0</v>
      </c>
      <c r="N24" s="30">
        <f t="shared" si="14"/>
        <v>45084</v>
      </c>
      <c r="O24" s="30">
        <f t="shared" si="15"/>
        <v>0</v>
      </c>
      <c r="P24" s="30">
        <f t="shared" si="16"/>
        <v>0</v>
      </c>
      <c r="Q24" s="30">
        <f t="shared" si="17"/>
        <v>0</v>
      </c>
      <c r="R24" s="30">
        <f t="shared" si="18"/>
        <v>13329</v>
      </c>
      <c r="S24" s="30">
        <f t="shared" si="19"/>
        <v>0</v>
      </c>
      <c r="T24" s="30">
        <f t="shared" si="20"/>
        <v>0</v>
      </c>
      <c r="U24" s="30">
        <f t="shared" si="21"/>
        <v>0</v>
      </c>
    </row>
    <row r="25" spans="1:21" x14ac:dyDescent="0.2">
      <c r="A25" s="28" t="s">
        <v>35</v>
      </c>
      <c r="B25" s="30">
        <f t="shared" si="5"/>
        <v>0</v>
      </c>
      <c r="C25" s="30">
        <f t="shared" si="6"/>
        <v>0</v>
      </c>
      <c r="D25" s="30">
        <f t="shared" si="7"/>
        <v>0</v>
      </c>
      <c r="E25" s="30"/>
      <c r="F25" s="30">
        <f t="shared" si="8"/>
        <v>14660</v>
      </c>
      <c r="G25" s="30">
        <f t="shared" si="9"/>
        <v>0</v>
      </c>
      <c r="H25" s="30">
        <f t="shared" si="10"/>
        <v>0</v>
      </c>
      <c r="I25" s="30">
        <f t="shared" si="10"/>
        <v>0</v>
      </c>
      <c r="J25" s="30">
        <f t="shared" si="11"/>
        <v>75166</v>
      </c>
      <c r="K25" s="30">
        <f t="shared" si="12"/>
        <v>0</v>
      </c>
      <c r="L25" s="30">
        <f t="shared" si="13"/>
        <v>0</v>
      </c>
      <c r="M25" s="30">
        <f t="shared" si="13"/>
        <v>0</v>
      </c>
      <c r="N25" s="30">
        <f t="shared" si="14"/>
        <v>47865</v>
      </c>
      <c r="O25" s="30">
        <f t="shared" si="15"/>
        <v>0</v>
      </c>
      <c r="P25" s="30">
        <f t="shared" si="16"/>
        <v>0</v>
      </c>
      <c r="Q25" s="30">
        <f t="shared" si="17"/>
        <v>0</v>
      </c>
      <c r="R25" s="30">
        <f t="shared" si="18"/>
        <v>14752</v>
      </c>
      <c r="S25" s="30">
        <f t="shared" si="19"/>
        <v>0</v>
      </c>
      <c r="T25" s="30">
        <f t="shared" si="20"/>
        <v>0</v>
      </c>
      <c r="U25" s="30">
        <f t="shared" si="21"/>
        <v>0</v>
      </c>
    </row>
    <row r="26" spans="1:21" x14ac:dyDescent="0.2">
      <c r="A26" s="28" t="s">
        <v>36</v>
      </c>
      <c r="B26" s="30">
        <f t="shared" si="5"/>
        <v>0</v>
      </c>
      <c r="C26" s="30">
        <f t="shared" si="6"/>
        <v>0</v>
      </c>
      <c r="D26" s="30">
        <f t="shared" si="7"/>
        <v>0</v>
      </c>
      <c r="E26" s="30"/>
      <c r="F26" s="30">
        <f t="shared" si="8"/>
        <v>16134</v>
      </c>
      <c r="G26" s="30">
        <f t="shared" si="9"/>
        <v>0</v>
      </c>
      <c r="H26" s="30">
        <f t="shared" si="10"/>
        <v>0</v>
      </c>
      <c r="I26" s="30">
        <f t="shared" si="10"/>
        <v>0</v>
      </c>
      <c r="J26" s="30">
        <f t="shared" si="11"/>
        <v>85913</v>
      </c>
      <c r="K26" s="30">
        <f t="shared" si="12"/>
        <v>0</v>
      </c>
      <c r="L26" s="30">
        <f t="shared" si="13"/>
        <v>0</v>
      </c>
      <c r="M26" s="30">
        <f t="shared" si="13"/>
        <v>0</v>
      </c>
      <c r="N26" s="30">
        <f t="shared" si="14"/>
        <v>50646</v>
      </c>
      <c r="O26" s="30">
        <f t="shared" si="15"/>
        <v>0</v>
      </c>
      <c r="P26" s="30">
        <f t="shared" si="16"/>
        <v>0</v>
      </c>
      <c r="Q26" s="30">
        <f t="shared" si="17"/>
        <v>0</v>
      </c>
      <c r="R26" s="30">
        <f t="shared" si="18"/>
        <v>16169</v>
      </c>
      <c r="S26" s="30">
        <f t="shared" si="19"/>
        <v>0</v>
      </c>
      <c r="T26" s="30">
        <f t="shared" si="20"/>
        <v>0</v>
      </c>
      <c r="U26" s="30">
        <f t="shared" si="21"/>
        <v>0</v>
      </c>
    </row>
    <row r="27" spans="1:21" x14ac:dyDescent="0.2">
      <c r="A27" s="12" t="s">
        <v>15</v>
      </c>
      <c r="B27" s="32">
        <f t="shared" si="5"/>
        <v>0</v>
      </c>
      <c r="C27" s="32">
        <f t="shared" si="6"/>
        <v>0</v>
      </c>
      <c r="D27" s="32">
        <f t="shared" si="7"/>
        <v>0</v>
      </c>
      <c r="E27" s="32"/>
      <c r="F27" s="32">
        <f t="shared" si="8"/>
        <v>17400</v>
      </c>
      <c r="G27" s="32">
        <f t="shared" si="9"/>
        <v>0</v>
      </c>
      <c r="H27" s="32">
        <f t="shared" si="10"/>
        <v>0</v>
      </c>
      <c r="I27" s="32">
        <f t="shared" si="10"/>
        <v>0</v>
      </c>
      <c r="J27" s="32">
        <f t="shared" si="11"/>
        <v>96688</v>
      </c>
      <c r="K27" s="32">
        <f t="shared" si="12"/>
        <v>0</v>
      </c>
      <c r="L27" s="32">
        <f t="shared" si="13"/>
        <v>0</v>
      </c>
      <c r="M27" s="32">
        <f t="shared" si="13"/>
        <v>0</v>
      </c>
      <c r="N27" s="32">
        <f t="shared" si="14"/>
        <v>53447</v>
      </c>
      <c r="O27" s="32">
        <f t="shared" si="15"/>
        <v>0</v>
      </c>
      <c r="P27" s="32">
        <f t="shared" si="16"/>
        <v>0</v>
      </c>
      <c r="Q27" s="32">
        <f t="shared" si="17"/>
        <v>0</v>
      </c>
      <c r="R27" s="32">
        <f t="shared" si="18"/>
        <v>17570</v>
      </c>
      <c r="S27" s="32">
        <f t="shared" si="19"/>
        <v>0</v>
      </c>
      <c r="T27" s="32">
        <f t="shared" si="20"/>
        <v>0</v>
      </c>
      <c r="U27" s="32">
        <f t="shared" si="21"/>
        <v>0</v>
      </c>
    </row>
    <row r="28" spans="1:21" x14ac:dyDescent="0.2">
      <c r="C28" s="16"/>
      <c r="D28" s="16"/>
      <c r="E28" s="16"/>
      <c r="G28" s="16"/>
      <c r="H28" s="16"/>
      <c r="I28" s="16"/>
      <c r="L28" s="16"/>
    </row>
    <row r="29" spans="1:21" x14ac:dyDescent="0.2">
      <c r="C29" s="16"/>
      <c r="D29" s="16"/>
      <c r="E29" s="16"/>
      <c r="L29" s="16"/>
    </row>
    <row r="30" spans="1:21" x14ac:dyDescent="0.2">
      <c r="C30" s="16"/>
      <c r="D30" s="16"/>
      <c r="E30" s="16"/>
      <c r="L30" s="16"/>
    </row>
    <row r="31" spans="1:21" x14ac:dyDescent="0.2">
      <c r="C31" s="16"/>
      <c r="D31" s="16"/>
      <c r="E31" s="16"/>
      <c r="L31" s="16"/>
    </row>
    <row r="32" spans="1:21" x14ac:dyDescent="0.2">
      <c r="C32" s="16"/>
      <c r="D32" s="16"/>
      <c r="E32" s="16"/>
      <c r="L32" s="16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</sheetData>
  <mergeCells count="7">
    <mergeCell ref="O2:Q2"/>
    <mergeCell ref="S2:U2"/>
    <mergeCell ref="C2:D2"/>
    <mergeCell ref="B1:D1"/>
    <mergeCell ref="F1:H1"/>
    <mergeCell ref="K2:M2"/>
    <mergeCell ref="G2:I2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J18" sqref="J18"/>
    </sheetView>
  </sheetViews>
  <sheetFormatPr defaultRowHeight="12.75" x14ac:dyDescent="0.2"/>
  <cols>
    <col min="2" max="9" width="0" hidden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359" t="s">
        <v>22</v>
      </c>
      <c r="K1" s="358"/>
      <c r="L1" s="358"/>
      <c r="M1" s="362"/>
      <c r="N1" s="359" t="s">
        <v>185</v>
      </c>
      <c r="O1" s="358"/>
      <c r="P1" s="358"/>
      <c r="Q1" s="362"/>
      <c r="S1" t="s">
        <v>193</v>
      </c>
      <c r="W1" t="s">
        <v>188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21" t="s">
        <v>27</v>
      </c>
      <c r="L3" s="21" t="s">
        <v>26</v>
      </c>
      <c r="M3" s="134" t="s">
        <v>113</v>
      </c>
      <c r="N3" s="7"/>
      <c r="O3" s="21" t="s">
        <v>27</v>
      </c>
      <c r="P3" s="21" t="s">
        <v>26</v>
      </c>
      <c r="Q3" s="134" t="s">
        <v>113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/>
      <c r="K4" s="22"/>
      <c r="L4" s="22"/>
      <c r="M4" s="21"/>
      <c r="N4" s="22"/>
      <c r="O4" s="22"/>
      <c r="P4" s="22"/>
      <c r="Q4" s="21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/>
      <c r="K5" s="22"/>
      <c r="L5" s="22"/>
      <c r="M5" s="21"/>
      <c r="N5" s="22"/>
      <c r="O5" s="22"/>
      <c r="P5" s="22"/>
      <c r="Q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/>
      <c r="K6" s="22"/>
      <c r="L6" s="22"/>
      <c r="M6" s="21"/>
      <c r="N6" s="22"/>
      <c r="O6" s="22"/>
      <c r="P6" s="22"/>
      <c r="Q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/>
      <c r="K7" s="22"/>
      <c r="L7" s="22"/>
      <c r="M7" s="21"/>
      <c r="N7" s="22"/>
      <c r="O7" s="22"/>
      <c r="P7" s="22"/>
      <c r="Q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/>
      <c r="K8" s="22"/>
      <c r="L8" s="22"/>
      <c r="M8" s="21"/>
      <c r="N8" s="22"/>
      <c r="O8" s="22"/>
      <c r="P8" s="22"/>
      <c r="Q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/>
      <c r="K9" s="22"/>
      <c r="L9" s="22"/>
      <c r="M9" s="21"/>
      <c r="N9" s="22">
        <v>200</v>
      </c>
      <c r="O9" s="22"/>
      <c r="P9" s="22"/>
      <c r="Q9" s="21"/>
    </row>
    <row r="10" spans="1:27" x14ac:dyDescent="0.2">
      <c r="A10" s="82" t="s">
        <v>19</v>
      </c>
      <c r="B10" s="104">
        <f t="shared" si="0"/>
        <v>0</v>
      </c>
      <c r="C10" s="22"/>
      <c r="D10" s="22"/>
      <c r="E10" s="22"/>
      <c r="F10" s="104">
        <f t="shared" si="1"/>
        <v>0</v>
      </c>
      <c r="G10" s="84"/>
      <c r="H10" s="84"/>
      <c r="I10" s="84"/>
      <c r="J10" s="22"/>
      <c r="K10" s="22"/>
      <c r="L10" s="22"/>
      <c r="M10" s="21"/>
      <c r="N10" s="22">
        <v>215</v>
      </c>
      <c r="O10" s="22"/>
      <c r="P10" s="22"/>
      <c r="Q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/>
      <c r="K11" s="22"/>
      <c r="L11" s="22"/>
      <c r="M11" s="21"/>
      <c r="N11" s="22">
        <v>198</v>
      </c>
      <c r="O11" s="22"/>
      <c r="P11" s="22"/>
      <c r="Q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/>
      <c r="K12" s="22"/>
      <c r="L12" s="22"/>
      <c r="M12" s="21"/>
      <c r="N12" s="22">
        <v>250</v>
      </c>
      <c r="O12" s="22"/>
      <c r="P12" s="22"/>
      <c r="Q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/>
      <c r="K13" s="22"/>
      <c r="L13" s="22"/>
      <c r="M13" s="21"/>
      <c r="N13" s="22">
        <v>207</v>
      </c>
      <c r="O13" s="22"/>
      <c r="P13" s="22"/>
      <c r="Q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/>
      <c r="K14" s="22"/>
      <c r="L14" s="22"/>
      <c r="M14" s="21"/>
      <c r="N14" s="22">
        <v>201</v>
      </c>
      <c r="O14" s="22"/>
      <c r="P14" s="22"/>
      <c r="Q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/>
      <c r="K15" s="22"/>
      <c r="L15" s="22"/>
      <c r="M15" s="21"/>
      <c r="N15" s="22">
        <v>179</v>
      </c>
      <c r="O15" s="22"/>
      <c r="P15" s="22"/>
      <c r="Q15" s="21"/>
    </row>
    <row r="16" spans="1:27" x14ac:dyDescent="0.2">
      <c r="A16" s="1" t="s">
        <v>6</v>
      </c>
      <c r="B16" s="22">
        <f t="shared" ref="B16:J16" si="2">SUM(B4:B15)</f>
        <v>0</v>
      </c>
      <c r="C16" s="22">
        <f t="shared" si="2"/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0</v>
      </c>
      <c r="K16" s="22">
        <f t="shared" ref="K16:Q16" si="3">SUM(K4:K15)</f>
        <v>0</v>
      </c>
      <c r="L16" s="22">
        <f t="shared" si="3"/>
        <v>0</v>
      </c>
      <c r="M16" s="22">
        <f t="shared" si="3"/>
        <v>0</v>
      </c>
      <c r="N16" s="22">
        <f t="shared" si="3"/>
        <v>1450</v>
      </c>
      <c r="O16" s="22">
        <f t="shared" si="3"/>
        <v>0</v>
      </c>
      <c r="P16" s="22">
        <f t="shared" si="3"/>
        <v>0</v>
      </c>
      <c r="Q16" s="22">
        <f t="shared" si="3"/>
        <v>0</v>
      </c>
    </row>
    <row r="17" spans="1:17" x14ac:dyDescent="0.2">
      <c r="A17" s="28" t="s">
        <v>28</v>
      </c>
      <c r="B17" s="30">
        <f t="shared" ref="B17:L17" si="4">B4+B5</f>
        <v>0</v>
      </c>
      <c r="C17" s="30">
        <f t="shared" si="4"/>
        <v>0</v>
      </c>
      <c r="D17" s="30">
        <f t="shared" si="4"/>
        <v>0</v>
      </c>
      <c r="E17" s="30"/>
      <c r="F17" s="30">
        <f t="shared" si="4"/>
        <v>0</v>
      </c>
      <c r="G17" s="30">
        <f t="shared" si="4"/>
        <v>0</v>
      </c>
      <c r="H17" s="30">
        <f t="shared" si="4"/>
        <v>0</v>
      </c>
      <c r="I17" s="30"/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>M4+M5</f>
        <v>0</v>
      </c>
      <c r="N17" s="30">
        <f>N4+N5</f>
        <v>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37</v>
      </c>
      <c r="B18" s="30">
        <f t="shared" ref="B18:D27" si="5">B17+B6</f>
        <v>0</v>
      </c>
      <c r="C18" s="30">
        <f t="shared" si="5"/>
        <v>0</v>
      </c>
      <c r="D18" s="30">
        <f t="shared" si="5"/>
        <v>0</v>
      </c>
      <c r="E18" s="30"/>
      <c r="F18" s="30">
        <f t="shared" ref="F18:H27" si="6">F17+F6</f>
        <v>0</v>
      </c>
      <c r="G18" s="30">
        <f t="shared" si="6"/>
        <v>0</v>
      </c>
      <c r="H18" s="30">
        <f t="shared" si="6"/>
        <v>0</v>
      </c>
      <c r="I18" s="30"/>
      <c r="J18" s="30">
        <f t="shared" ref="J18:M27" si="7">J17+J6</f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ref="N18:N27" si="8">N17+N6</f>
        <v>0</v>
      </c>
      <c r="O18" s="30">
        <f t="shared" ref="O18:O27" si="9">O17+O6</f>
        <v>0</v>
      </c>
      <c r="P18" s="30">
        <f t="shared" ref="P18:P27" si="10">P17+P6</f>
        <v>0</v>
      </c>
      <c r="Q18" s="30">
        <f t="shared" ref="Q18:Q27" si="11">Q17+Q6</f>
        <v>0</v>
      </c>
    </row>
    <row r="19" spans="1:17" x14ac:dyDescent="0.2">
      <c r="A19" s="28" t="s">
        <v>29</v>
      </c>
      <c r="B19" s="30">
        <f t="shared" si="5"/>
        <v>0</v>
      </c>
      <c r="C19" s="30">
        <f t="shared" si="5"/>
        <v>0</v>
      </c>
      <c r="D19" s="30">
        <f t="shared" si="5"/>
        <v>0</v>
      </c>
      <c r="E19" s="30"/>
      <c r="F19" s="30">
        <f t="shared" si="6"/>
        <v>0</v>
      </c>
      <c r="G19" s="30">
        <f t="shared" si="6"/>
        <v>0</v>
      </c>
      <c r="H19" s="30">
        <f t="shared" si="6"/>
        <v>0</v>
      </c>
      <c r="I19" s="30"/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8"/>
        <v>0</v>
      </c>
      <c r="O19" s="30">
        <f t="shared" si="9"/>
        <v>0</v>
      </c>
      <c r="P19" s="30">
        <f t="shared" si="10"/>
        <v>0</v>
      </c>
      <c r="Q19" s="30">
        <f t="shared" si="11"/>
        <v>0</v>
      </c>
    </row>
    <row r="20" spans="1:17" x14ac:dyDescent="0.2">
      <c r="A20" s="28" t="s">
        <v>30</v>
      </c>
      <c r="B20" s="30">
        <f t="shared" si="5"/>
        <v>0</v>
      </c>
      <c r="C20" s="30">
        <f t="shared" si="5"/>
        <v>0</v>
      </c>
      <c r="D20" s="30">
        <f t="shared" si="5"/>
        <v>0</v>
      </c>
      <c r="E20" s="30"/>
      <c r="F20" s="30">
        <f t="shared" si="6"/>
        <v>0</v>
      </c>
      <c r="G20" s="30">
        <f t="shared" si="6"/>
        <v>0</v>
      </c>
      <c r="H20" s="30">
        <f t="shared" si="6"/>
        <v>0</v>
      </c>
      <c r="I20" s="30"/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8"/>
        <v>0</v>
      </c>
      <c r="O20" s="30">
        <f t="shared" si="9"/>
        <v>0</v>
      </c>
      <c r="P20" s="30">
        <f t="shared" si="10"/>
        <v>0</v>
      </c>
      <c r="Q20" s="30">
        <f t="shared" si="11"/>
        <v>0</v>
      </c>
    </row>
    <row r="21" spans="1:17" x14ac:dyDescent="0.2">
      <c r="A21" s="28" t="s">
        <v>31</v>
      </c>
      <c r="B21" s="30">
        <f t="shared" si="5"/>
        <v>0</v>
      </c>
      <c r="C21" s="30">
        <f t="shared" si="5"/>
        <v>0</v>
      </c>
      <c r="D21" s="30">
        <f t="shared" si="5"/>
        <v>0</v>
      </c>
      <c r="E21" s="30"/>
      <c r="F21" s="30">
        <f t="shared" si="6"/>
        <v>0</v>
      </c>
      <c r="G21" s="30">
        <f t="shared" si="6"/>
        <v>0</v>
      </c>
      <c r="H21" s="30">
        <f t="shared" si="6"/>
        <v>0</v>
      </c>
      <c r="I21" s="30"/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8"/>
        <v>200</v>
      </c>
      <c r="O21" s="30">
        <f t="shared" si="9"/>
        <v>0</v>
      </c>
      <c r="P21" s="30">
        <f t="shared" si="10"/>
        <v>0</v>
      </c>
      <c r="Q21" s="30">
        <f t="shared" si="11"/>
        <v>0</v>
      </c>
    </row>
    <row r="22" spans="1:17" x14ac:dyDescent="0.2">
      <c r="A22" s="28" t="s">
        <v>32</v>
      </c>
      <c r="B22" s="30">
        <f t="shared" si="5"/>
        <v>0</v>
      </c>
      <c r="C22" s="30">
        <f t="shared" si="5"/>
        <v>0</v>
      </c>
      <c r="D22" s="30">
        <f t="shared" si="5"/>
        <v>0</v>
      </c>
      <c r="E22" s="30"/>
      <c r="F22" s="30">
        <f t="shared" si="6"/>
        <v>0</v>
      </c>
      <c r="G22" s="30">
        <f t="shared" si="6"/>
        <v>0</v>
      </c>
      <c r="H22" s="30">
        <f t="shared" si="6"/>
        <v>0</v>
      </c>
      <c r="I22" s="30"/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8"/>
        <v>415</v>
      </c>
      <c r="O22" s="30">
        <f t="shared" si="9"/>
        <v>0</v>
      </c>
      <c r="P22" s="30">
        <f t="shared" si="10"/>
        <v>0</v>
      </c>
      <c r="Q22" s="30">
        <f t="shared" si="11"/>
        <v>0</v>
      </c>
    </row>
    <row r="23" spans="1:17" x14ac:dyDescent="0.2">
      <c r="A23" s="28" t="s">
        <v>33</v>
      </c>
      <c r="B23" s="30">
        <f t="shared" si="5"/>
        <v>0</v>
      </c>
      <c r="C23" s="30">
        <f t="shared" si="5"/>
        <v>0</v>
      </c>
      <c r="D23" s="30">
        <f t="shared" si="5"/>
        <v>0</v>
      </c>
      <c r="E23" s="30"/>
      <c r="F23" s="30">
        <f t="shared" si="6"/>
        <v>0</v>
      </c>
      <c r="G23" s="30">
        <f t="shared" si="6"/>
        <v>0</v>
      </c>
      <c r="H23" s="30">
        <f t="shared" si="6"/>
        <v>0</v>
      </c>
      <c r="I23" s="30"/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8"/>
        <v>613</v>
      </c>
      <c r="O23" s="30">
        <f t="shared" si="9"/>
        <v>0</v>
      </c>
      <c r="P23" s="30">
        <f t="shared" si="10"/>
        <v>0</v>
      </c>
      <c r="Q23" s="30">
        <f t="shared" si="11"/>
        <v>0</v>
      </c>
    </row>
    <row r="24" spans="1:17" x14ac:dyDescent="0.2">
      <c r="A24" s="28" t="s">
        <v>34</v>
      </c>
      <c r="B24" s="30">
        <f t="shared" si="5"/>
        <v>0</v>
      </c>
      <c r="C24" s="30">
        <f t="shared" si="5"/>
        <v>0</v>
      </c>
      <c r="D24" s="30">
        <f t="shared" si="5"/>
        <v>0</v>
      </c>
      <c r="E24" s="30"/>
      <c r="F24" s="30">
        <f t="shared" si="6"/>
        <v>0</v>
      </c>
      <c r="G24" s="30">
        <f t="shared" si="6"/>
        <v>0</v>
      </c>
      <c r="H24" s="30">
        <f t="shared" si="6"/>
        <v>0</v>
      </c>
      <c r="I24" s="30"/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8"/>
        <v>863</v>
      </c>
      <c r="O24" s="30">
        <f t="shared" si="9"/>
        <v>0</v>
      </c>
      <c r="P24" s="30">
        <f t="shared" si="10"/>
        <v>0</v>
      </c>
      <c r="Q24" s="30">
        <f t="shared" si="11"/>
        <v>0</v>
      </c>
    </row>
    <row r="25" spans="1:17" x14ac:dyDescent="0.2">
      <c r="A25" s="29" t="s">
        <v>35</v>
      </c>
      <c r="B25" s="31">
        <f t="shared" si="5"/>
        <v>0</v>
      </c>
      <c r="C25" s="31">
        <f t="shared" si="5"/>
        <v>0</v>
      </c>
      <c r="D25" s="31">
        <f t="shared" si="5"/>
        <v>0</v>
      </c>
      <c r="E25" s="31"/>
      <c r="F25" s="31">
        <f t="shared" si="6"/>
        <v>0</v>
      </c>
      <c r="G25" s="31">
        <f t="shared" si="6"/>
        <v>0</v>
      </c>
      <c r="H25" s="31">
        <f t="shared" si="6"/>
        <v>0</v>
      </c>
      <c r="I25" s="31"/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8"/>
        <v>1070</v>
      </c>
      <c r="O25" s="31">
        <f t="shared" si="9"/>
        <v>0</v>
      </c>
      <c r="P25" s="31">
        <f t="shared" si="10"/>
        <v>0</v>
      </c>
      <c r="Q25" s="31">
        <f t="shared" si="11"/>
        <v>0</v>
      </c>
    </row>
    <row r="26" spans="1:17" x14ac:dyDescent="0.2">
      <c r="A26" s="29" t="s">
        <v>36</v>
      </c>
      <c r="B26" s="31">
        <f t="shared" si="5"/>
        <v>0</v>
      </c>
      <c r="C26" s="31">
        <f t="shared" si="5"/>
        <v>0</v>
      </c>
      <c r="D26" s="31">
        <f t="shared" si="5"/>
        <v>0</v>
      </c>
      <c r="E26" s="31"/>
      <c r="F26" s="31">
        <f t="shared" si="6"/>
        <v>0</v>
      </c>
      <c r="G26" s="31">
        <f t="shared" si="6"/>
        <v>0</v>
      </c>
      <c r="H26" s="31">
        <f t="shared" si="6"/>
        <v>0</v>
      </c>
      <c r="I26" s="31"/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8"/>
        <v>1271</v>
      </c>
      <c r="O26" s="31">
        <f t="shared" si="9"/>
        <v>0</v>
      </c>
      <c r="P26" s="31">
        <f t="shared" si="10"/>
        <v>0</v>
      </c>
      <c r="Q26" s="31">
        <f t="shared" si="11"/>
        <v>0</v>
      </c>
    </row>
    <row r="27" spans="1:17" x14ac:dyDescent="0.2">
      <c r="A27" s="12" t="s">
        <v>15</v>
      </c>
      <c r="B27" s="32">
        <f t="shared" si="5"/>
        <v>0</v>
      </c>
      <c r="C27" s="32">
        <f t="shared" si="5"/>
        <v>0</v>
      </c>
      <c r="D27" s="32">
        <f t="shared" si="5"/>
        <v>0</v>
      </c>
      <c r="E27" s="32"/>
      <c r="F27" s="32">
        <f t="shared" si="6"/>
        <v>0</v>
      </c>
      <c r="G27" s="32">
        <f t="shared" si="6"/>
        <v>0</v>
      </c>
      <c r="H27" s="32">
        <f t="shared" si="6"/>
        <v>0</v>
      </c>
      <c r="I27" s="32"/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8"/>
        <v>1450</v>
      </c>
      <c r="O27" s="32">
        <f t="shared" si="9"/>
        <v>0</v>
      </c>
      <c r="P27" s="32">
        <f t="shared" si="10"/>
        <v>0</v>
      </c>
      <c r="Q27" s="32">
        <f t="shared" si="11"/>
        <v>0</v>
      </c>
    </row>
  </sheetData>
  <mergeCells count="8">
    <mergeCell ref="N1:Q1"/>
    <mergeCell ref="O2:Q2"/>
    <mergeCell ref="B1:D1"/>
    <mergeCell ref="F1:H1"/>
    <mergeCell ref="J1:M1"/>
    <mergeCell ref="C2:D2"/>
    <mergeCell ref="G2:H2"/>
    <mergeCell ref="K2:M2"/>
  </mergeCells>
  <phoneticPr fontId="34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J18" sqref="J18"/>
    </sheetView>
  </sheetViews>
  <sheetFormatPr defaultRowHeight="12.75" x14ac:dyDescent="0.2"/>
  <cols>
    <col min="2" max="9" width="0" hidden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359" t="s">
        <v>22</v>
      </c>
      <c r="K1" s="358"/>
      <c r="L1" s="358"/>
      <c r="M1" s="362"/>
      <c r="N1" s="359" t="s">
        <v>192</v>
      </c>
      <c r="O1" s="358"/>
      <c r="P1" s="358"/>
      <c r="Q1" s="362"/>
      <c r="S1" t="s">
        <v>193</v>
      </c>
      <c r="W1" t="s">
        <v>188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21" t="s">
        <v>27</v>
      </c>
      <c r="L3" s="21" t="s">
        <v>26</v>
      </c>
      <c r="M3" s="134" t="s">
        <v>113</v>
      </c>
      <c r="N3" s="7"/>
      <c r="O3" s="21" t="s">
        <v>27</v>
      </c>
      <c r="P3" s="21" t="s">
        <v>26</v>
      </c>
      <c r="Q3" s="134" t="s">
        <v>113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/>
      <c r="K4" s="22"/>
      <c r="L4" s="22"/>
      <c r="M4" s="21"/>
      <c r="N4" s="22"/>
      <c r="O4" s="22"/>
      <c r="P4" s="22"/>
      <c r="Q4" s="21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/>
      <c r="K5" s="22"/>
      <c r="L5" s="22"/>
      <c r="M5" s="21"/>
      <c r="N5" s="22"/>
      <c r="O5" s="22"/>
      <c r="P5" s="22"/>
      <c r="Q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/>
      <c r="K6" s="22"/>
      <c r="L6" s="22"/>
      <c r="M6" s="21"/>
      <c r="N6" s="22"/>
      <c r="O6" s="22"/>
      <c r="P6" s="22"/>
      <c r="Q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/>
      <c r="K7" s="22"/>
      <c r="L7" s="22"/>
      <c r="M7" s="21"/>
      <c r="N7" s="22"/>
      <c r="O7" s="22"/>
      <c r="P7" s="22"/>
      <c r="Q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/>
      <c r="K8" s="22"/>
      <c r="L8" s="22"/>
      <c r="M8" s="21"/>
      <c r="N8" s="22"/>
      <c r="O8" s="22"/>
      <c r="P8" s="22"/>
      <c r="Q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/>
      <c r="K9" s="22"/>
      <c r="L9" s="22"/>
      <c r="M9" s="21"/>
      <c r="N9" s="22"/>
      <c r="O9" s="22"/>
      <c r="P9" s="22"/>
      <c r="Q9" s="21"/>
    </row>
    <row r="10" spans="1:27" x14ac:dyDescent="0.2">
      <c r="A10" s="82" t="s">
        <v>19</v>
      </c>
      <c r="B10" s="104">
        <f t="shared" si="0"/>
        <v>0</v>
      </c>
      <c r="C10" s="22"/>
      <c r="D10" s="22"/>
      <c r="E10" s="22"/>
      <c r="F10" s="104">
        <f t="shared" si="1"/>
        <v>0</v>
      </c>
      <c r="G10" s="84"/>
      <c r="H10" s="84"/>
      <c r="I10" s="84"/>
      <c r="J10" s="22"/>
      <c r="K10" s="22"/>
      <c r="L10" s="22"/>
      <c r="M10" s="21"/>
      <c r="N10" s="22">
        <v>106</v>
      </c>
      <c r="O10" s="22"/>
      <c r="P10" s="22"/>
      <c r="Q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/>
      <c r="K11" s="22"/>
      <c r="L11" s="22"/>
      <c r="M11" s="21"/>
      <c r="N11" s="22">
        <v>106</v>
      </c>
      <c r="O11" s="22"/>
      <c r="P11" s="22"/>
      <c r="Q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/>
      <c r="K12" s="22"/>
      <c r="L12" s="22"/>
      <c r="M12" s="21"/>
      <c r="N12" s="22">
        <v>106</v>
      </c>
      <c r="O12" s="22"/>
      <c r="P12" s="22"/>
      <c r="Q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/>
      <c r="K13" s="22"/>
      <c r="L13" s="22"/>
      <c r="M13" s="21"/>
      <c r="N13" s="22">
        <v>106</v>
      </c>
      <c r="O13" s="22"/>
      <c r="P13" s="22"/>
      <c r="Q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/>
      <c r="K14" s="22"/>
      <c r="L14" s="22"/>
      <c r="M14" s="21"/>
      <c r="N14" s="22">
        <v>106</v>
      </c>
      <c r="O14" s="22"/>
      <c r="P14" s="22"/>
      <c r="Q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/>
      <c r="K15" s="22"/>
      <c r="L15" s="22"/>
      <c r="M15" s="21"/>
      <c r="N15" s="22">
        <v>110</v>
      </c>
      <c r="O15" s="22"/>
      <c r="P15" s="22"/>
      <c r="Q15" s="21"/>
    </row>
    <row r="16" spans="1:27" x14ac:dyDescent="0.2">
      <c r="A16" s="1" t="s">
        <v>6</v>
      </c>
      <c r="B16" s="22">
        <f t="shared" ref="B16:J16" si="2">SUM(B4:B15)</f>
        <v>0</v>
      </c>
      <c r="C16" s="22">
        <f t="shared" si="2"/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0</v>
      </c>
      <c r="K16" s="22">
        <f t="shared" ref="K16:Q16" si="3">SUM(K4:K15)</f>
        <v>0</v>
      </c>
      <c r="L16" s="22">
        <f t="shared" si="3"/>
        <v>0</v>
      </c>
      <c r="M16" s="22">
        <f t="shared" si="3"/>
        <v>0</v>
      </c>
      <c r="N16" s="22">
        <f t="shared" si="3"/>
        <v>640</v>
      </c>
      <c r="O16" s="22">
        <f t="shared" si="3"/>
        <v>0</v>
      </c>
      <c r="P16" s="22">
        <f t="shared" si="3"/>
        <v>0</v>
      </c>
      <c r="Q16" s="22">
        <f t="shared" si="3"/>
        <v>0</v>
      </c>
    </row>
    <row r="17" spans="1:17" x14ac:dyDescent="0.2">
      <c r="A17" s="28" t="s">
        <v>28</v>
      </c>
      <c r="B17" s="30">
        <f t="shared" ref="B17:L17" si="4">B4+B5</f>
        <v>0</v>
      </c>
      <c r="C17" s="30">
        <f t="shared" si="4"/>
        <v>0</v>
      </c>
      <c r="D17" s="30">
        <f t="shared" si="4"/>
        <v>0</v>
      </c>
      <c r="E17" s="30"/>
      <c r="F17" s="30">
        <f t="shared" si="4"/>
        <v>0</v>
      </c>
      <c r="G17" s="30">
        <f t="shared" si="4"/>
        <v>0</v>
      </c>
      <c r="H17" s="30">
        <f t="shared" si="4"/>
        <v>0</v>
      </c>
      <c r="I17" s="30"/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>M4+M5</f>
        <v>0</v>
      </c>
      <c r="N17" s="30">
        <f>N4+N5</f>
        <v>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37</v>
      </c>
      <c r="B18" s="30">
        <f t="shared" ref="B18:D27" si="5">B17+B6</f>
        <v>0</v>
      </c>
      <c r="C18" s="30">
        <f t="shared" si="5"/>
        <v>0</v>
      </c>
      <c r="D18" s="30">
        <f t="shared" si="5"/>
        <v>0</v>
      </c>
      <c r="E18" s="30"/>
      <c r="F18" s="30">
        <f t="shared" ref="F18:H27" si="6">F17+F6</f>
        <v>0</v>
      </c>
      <c r="G18" s="30">
        <f t="shared" si="6"/>
        <v>0</v>
      </c>
      <c r="H18" s="30">
        <f t="shared" si="6"/>
        <v>0</v>
      </c>
      <c r="I18" s="30"/>
      <c r="J18" s="30">
        <f t="shared" ref="J18:M27" si="7">J17+J6</f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ref="N18:N27" si="8">N17+N6</f>
        <v>0</v>
      </c>
      <c r="O18" s="30">
        <f t="shared" ref="O18:O27" si="9">O17+O6</f>
        <v>0</v>
      </c>
      <c r="P18" s="30">
        <f t="shared" ref="P18:P27" si="10">P17+P6</f>
        <v>0</v>
      </c>
      <c r="Q18" s="30">
        <f t="shared" ref="Q18:Q27" si="11">Q17+Q6</f>
        <v>0</v>
      </c>
    </row>
    <row r="19" spans="1:17" x14ac:dyDescent="0.2">
      <c r="A19" s="28" t="s">
        <v>29</v>
      </c>
      <c r="B19" s="30">
        <f t="shared" si="5"/>
        <v>0</v>
      </c>
      <c r="C19" s="30">
        <f t="shared" si="5"/>
        <v>0</v>
      </c>
      <c r="D19" s="30">
        <f t="shared" si="5"/>
        <v>0</v>
      </c>
      <c r="E19" s="30"/>
      <c r="F19" s="30">
        <f t="shared" si="6"/>
        <v>0</v>
      </c>
      <c r="G19" s="30">
        <f t="shared" si="6"/>
        <v>0</v>
      </c>
      <c r="H19" s="30">
        <f t="shared" si="6"/>
        <v>0</v>
      </c>
      <c r="I19" s="30"/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8"/>
        <v>0</v>
      </c>
      <c r="O19" s="30">
        <f t="shared" si="9"/>
        <v>0</v>
      </c>
      <c r="P19" s="30">
        <f t="shared" si="10"/>
        <v>0</v>
      </c>
      <c r="Q19" s="30">
        <f t="shared" si="11"/>
        <v>0</v>
      </c>
    </row>
    <row r="20" spans="1:17" x14ac:dyDescent="0.2">
      <c r="A20" s="28" t="s">
        <v>30</v>
      </c>
      <c r="B20" s="30">
        <f t="shared" si="5"/>
        <v>0</v>
      </c>
      <c r="C20" s="30">
        <f t="shared" si="5"/>
        <v>0</v>
      </c>
      <c r="D20" s="30">
        <f t="shared" si="5"/>
        <v>0</v>
      </c>
      <c r="E20" s="30"/>
      <c r="F20" s="30">
        <f t="shared" si="6"/>
        <v>0</v>
      </c>
      <c r="G20" s="30">
        <f t="shared" si="6"/>
        <v>0</v>
      </c>
      <c r="H20" s="30">
        <f t="shared" si="6"/>
        <v>0</v>
      </c>
      <c r="I20" s="30"/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8"/>
        <v>0</v>
      </c>
      <c r="O20" s="30">
        <f t="shared" si="9"/>
        <v>0</v>
      </c>
      <c r="P20" s="30">
        <f t="shared" si="10"/>
        <v>0</v>
      </c>
      <c r="Q20" s="30">
        <f t="shared" si="11"/>
        <v>0</v>
      </c>
    </row>
    <row r="21" spans="1:17" x14ac:dyDescent="0.2">
      <c r="A21" s="28" t="s">
        <v>31</v>
      </c>
      <c r="B21" s="30">
        <f t="shared" si="5"/>
        <v>0</v>
      </c>
      <c r="C21" s="30">
        <f t="shared" si="5"/>
        <v>0</v>
      </c>
      <c r="D21" s="30">
        <f t="shared" si="5"/>
        <v>0</v>
      </c>
      <c r="E21" s="30"/>
      <c r="F21" s="30">
        <f t="shared" si="6"/>
        <v>0</v>
      </c>
      <c r="G21" s="30">
        <f t="shared" si="6"/>
        <v>0</v>
      </c>
      <c r="H21" s="30">
        <f t="shared" si="6"/>
        <v>0</v>
      </c>
      <c r="I21" s="30"/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8"/>
        <v>0</v>
      </c>
      <c r="O21" s="30">
        <f t="shared" si="9"/>
        <v>0</v>
      </c>
      <c r="P21" s="30">
        <f t="shared" si="10"/>
        <v>0</v>
      </c>
      <c r="Q21" s="30">
        <f t="shared" si="11"/>
        <v>0</v>
      </c>
    </row>
    <row r="22" spans="1:17" x14ac:dyDescent="0.2">
      <c r="A22" s="28" t="s">
        <v>32</v>
      </c>
      <c r="B22" s="30">
        <f t="shared" si="5"/>
        <v>0</v>
      </c>
      <c r="C22" s="30">
        <f t="shared" si="5"/>
        <v>0</v>
      </c>
      <c r="D22" s="30">
        <f t="shared" si="5"/>
        <v>0</v>
      </c>
      <c r="E22" s="30"/>
      <c r="F22" s="30">
        <f t="shared" si="6"/>
        <v>0</v>
      </c>
      <c r="G22" s="30">
        <f t="shared" si="6"/>
        <v>0</v>
      </c>
      <c r="H22" s="30">
        <f t="shared" si="6"/>
        <v>0</v>
      </c>
      <c r="I22" s="30"/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8"/>
        <v>106</v>
      </c>
      <c r="O22" s="30">
        <f t="shared" si="9"/>
        <v>0</v>
      </c>
      <c r="P22" s="30">
        <f t="shared" si="10"/>
        <v>0</v>
      </c>
      <c r="Q22" s="30">
        <f t="shared" si="11"/>
        <v>0</v>
      </c>
    </row>
    <row r="23" spans="1:17" x14ac:dyDescent="0.2">
      <c r="A23" s="28" t="s">
        <v>33</v>
      </c>
      <c r="B23" s="30">
        <f t="shared" si="5"/>
        <v>0</v>
      </c>
      <c r="C23" s="30">
        <f t="shared" si="5"/>
        <v>0</v>
      </c>
      <c r="D23" s="30">
        <f t="shared" si="5"/>
        <v>0</v>
      </c>
      <c r="E23" s="30"/>
      <c r="F23" s="30">
        <f t="shared" si="6"/>
        <v>0</v>
      </c>
      <c r="G23" s="30">
        <f t="shared" si="6"/>
        <v>0</v>
      </c>
      <c r="H23" s="30">
        <f t="shared" si="6"/>
        <v>0</v>
      </c>
      <c r="I23" s="30"/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8"/>
        <v>212</v>
      </c>
      <c r="O23" s="30">
        <f t="shared" si="9"/>
        <v>0</v>
      </c>
      <c r="P23" s="30">
        <f t="shared" si="10"/>
        <v>0</v>
      </c>
      <c r="Q23" s="30">
        <f t="shared" si="11"/>
        <v>0</v>
      </c>
    </row>
    <row r="24" spans="1:17" x14ac:dyDescent="0.2">
      <c r="A24" s="28" t="s">
        <v>34</v>
      </c>
      <c r="B24" s="30">
        <f t="shared" si="5"/>
        <v>0</v>
      </c>
      <c r="C24" s="30">
        <f t="shared" si="5"/>
        <v>0</v>
      </c>
      <c r="D24" s="30">
        <f t="shared" si="5"/>
        <v>0</v>
      </c>
      <c r="E24" s="30"/>
      <c r="F24" s="30">
        <f t="shared" si="6"/>
        <v>0</v>
      </c>
      <c r="G24" s="30">
        <f t="shared" si="6"/>
        <v>0</v>
      </c>
      <c r="H24" s="30">
        <f t="shared" si="6"/>
        <v>0</v>
      </c>
      <c r="I24" s="30"/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8"/>
        <v>318</v>
      </c>
      <c r="O24" s="30">
        <f t="shared" si="9"/>
        <v>0</v>
      </c>
      <c r="P24" s="30">
        <f t="shared" si="10"/>
        <v>0</v>
      </c>
      <c r="Q24" s="30">
        <f t="shared" si="11"/>
        <v>0</v>
      </c>
    </row>
    <row r="25" spans="1:17" x14ac:dyDescent="0.2">
      <c r="A25" s="29" t="s">
        <v>35</v>
      </c>
      <c r="B25" s="31">
        <f t="shared" si="5"/>
        <v>0</v>
      </c>
      <c r="C25" s="31">
        <f t="shared" si="5"/>
        <v>0</v>
      </c>
      <c r="D25" s="31">
        <f t="shared" si="5"/>
        <v>0</v>
      </c>
      <c r="E25" s="31"/>
      <c r="F25" s="31">
        <f t="shared" si="6"/>
        <v>0</v>
      </c>
      <c r="G25" s="31">
        <f t="shared" si="6"/>
        <v>0</v>
      </c>
      <c r="H25" s="31">
        <f t="shared" si="6"/>
        <v>0</v>
      </c>
      <c r="I25" s="31"/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8"/>
        <v>424</v>
      </c>
      <c r="O25" s="31">
        <f t="shared" si="9"/>
        <v>0</v>
      </c>
      <c r="P25" s="31">
        <f t="shared" si="10"/>
        <v>0</v>
      </c>
      <c r="Q25" s="31">
        <f t="shared" si="11"/>
        <v>0</v>
      </c>
    </row>
    <row r="26" spans="1:17" x14ac:dyDescent="0.2">
      <c r="A26" s="29" t="s">
        <v>36</v>
      </c>
      <c r="B26" s="31">
        <f t="shared" si="5"/>
        <v>0</v>
      </c>
      <c r="C26" s="31">
        <f t="shared" si="5"/>
        <v>0</v>
      </c>
      <c r="D26" s="31">
        <f t="shared" si="5"/>
        <v>0</v>
      </c>
      <c r="E26" s="31"/>
      <c r="F26" s="31">
        <f t="shared" si="6"/>
        <v>0</v>
      </c>
      <c r="G26" s="31">
        <f t="shared" si="6"/>
        <v>0</v>
      </c>
      <c r="H26" s="31">
        <f t="shared" si="6"/>
        <v>0</v>
      </c>
      <c r="I26" s="31"/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8"/>
        <v>530</v>
      </c>
      <c r="O26" s="31">
        <f t="shared" si="9"/>
        <v>0</v>
      </c>
      <c r="P26" s="31">
        <f t="shared" si="10"/>
        <v>0</v>
      </c>
      <c r="Q26" s="31">
        <f t="shared" si="11"/>
        <v>0</v>
      </c>
    </row>
    <row r="27" spans="1:17" x14ac:dyDescent="0.2">
      <c r="A27" s="12" t="s">
        <v>15</v>
      </c>
      <c r="B27" s="32">
        <f t="shared" si="5"/>
        <v>0</v>
      </c>
      <c r="C27" s="32">
        <f t="shared" si="5"/>
        <v>0</v>
      </c>
      <c r="D27" s="32">
        <f t="shared" si="5"/>
        <v>0</v>
      </c>
      <c r="E27" s="32"/>
      <c r="F27" s="32">
        <f t="shared" si="6"/>
        <v>0</v>
      </c>
      <c r="G27" s="32">
        <f t="shared" si="6"/>
        <v>0</v>
      </c>
      <c r="H27" s="32">
        <f t="shared" si="6"/>
        <v>0</v>
      </c>
      <c r="I27" s="32"/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8"/>
        <v>640</v>
      </c>
      <c r="O27" s="32">
        <f t="shared" si="9"/>
        <v>0</v>
      </c>
      <c r="P27" s="32">
        <f t="shared" si="10"/>
        <v>0</v>
      </c>
      <c r="Q27" s="32">
        <f t="shared" si="11"/>
        <v>0</v>
      </c>
    </row>
  </sheetData>
  <mergeCells count="8">
    <mergeCell ref="N1:Q1"/>
    <mergeCell ref="O2:Q2"/>
    <mergeCell ref="B1:D1"/>
    <mergeCell ref="F1:H1"/>
    <mergeCell ref="J1:M1"/>
    <mergeCell ref="C2:D2"/>
    <mergeCell ref="G2:H2"/>
    <mergeCell ref="K2:M2"/>
  </mergeCells>
  <phoneticPr fontId="34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J18" sqref="J18"/>
    </sheetView>
  </sheetViews>
  <sheetFormatPr defaultRowHeight="12.75" x14ac:dyDescent="0.2"/>
  <cols>
    <col min="2" max="9" width="0" hidden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359" t="s">
        <v>22</v>
      </c>
      <c r="K1" s="358"/>
      <c r="L1" s="358"/>
      <c r="M1" s="362"/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21" t="s">
        <v>27</v>
      </c>
      <c r="L3" s="21" t="s">
        <v>26</v>
      </c>
      <c r="M3" s="134" t="s">
        <v>113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>
        <v>416</v>
      </c>
      <c r="K4" s="22"/>
      <c r="L4" s="22"/>
      <c r="M4" s="21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>
        <v>416</v>
      </c>
      <c r="K5" s="22"/>
      <c r="L5" s="22"/>
      <c r="M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416</v>
      </c>
      <c r="K6" s="22"/>
      <c r="L6" s="22"/>
      <c r="M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387</v>
      </c>
      <c r="K7" s="22"/>
      <c r="L7" s="22"/>
      <c r="M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/>
      <c r="K8" s="22"/>
      <c r="L8" s="22"/>
      <c r="M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/>
      <c r="K9" s="22"/>
      <c r="L9" s="22"/>
      <c r="M9" s="21"/>
    </row>
    <row r="10" spans="1:27" x14ac:dyDescent="0.2">
      <c r="A10" s="82" t="s">
        <v>19</v>
      </c>
      <c r="B10" s="104">
        <f t="shared" si="0"/>
        <v>0</v>
      </c>
      <c r="C10" s="22"/>
      <c r="D10" s="22"/>
      <c r="E10" s="22"/>
      <c r="F10" s="104">
        <f t="shared" si="1"/>
        <v>0</v>
      </c>
      <c r="G10" s="84"/>
      <c r="H10" s="84"/>
      <c r="I10" s="84"/>
      <c r="J10" s="22"/>
      <c r="K10" s="22"/>
      <c r="L10" s="22"/>
      <c r="M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/>
      <c r="K11" s="22"/>
      <c r="L11" s="22"/>
      <c r="M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/>
      <c r="K12" s="22"/>
      <c r="L12" s="22"/>
      <c r="M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/>
      <c r="K13" s="22"/>
      <c r="L13" s="22"/>
      <c r="M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/>
      <c r="K14" s="22"/>
      <c r="L14" s="22"/>
      <c r="M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/>
      <c r="K15" s="22"/>
      <c r="L15" s="22"/>
      <c r="M15" s="21"/>
    </row>
    <row r="16" spans="1:27" x14ac:dyDescent="0.2">
      <c r="A16" s="1" t="s">
        <v>6</v>
      </c>
      <c r="B16" s="22">
        <f t="shared" ref="B16:J16" si="2">SUM(B4:B15)</f>
        <v>0</v>
      </c>
      <c r="C16" s="22">
        <f t="shared" si="2"/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1635</v>
      </c>
      <c r="K16" s="22">
        <f>SUM(K4:K15)</f>
        <v>0</v>
      </c>
      <c r="L16" s="22">
        <f>SUM(L4:L15)</f>
        <v>0</v>
      </c>
      <c r="M16" s="22">
        <f>SUM(M4:M15)</f>
        <v>0</v>
      </c>
    </row>
    <row r="17" spans="1:13" x14ac:dyDescent="0.2">
      <c r="A17" s="28" t="s">
        <v>28</v>
      </c>
      <c r="B17" s="30">
        <f t="shared" ref="B17:L17" si="3">B4+B5</f>
        <v>0</v>
      </c>
      <c r="C17" s="30">
        <f t="shared" si="3"/>
        <v>0</v>
      </c>
      <c r="D17" s="30">
        <f t="shared" si="3"/>
        <v>0</v>
      </c>
      <c r="E17" s="30"/>
      <c r="F17" s="30">
        <f t="shared" si="3"/>
        <v>0</v>
      </c>
      <c r="G17" s="30">
        <f t="shared" si="3"/>
        <v>0</v>
      </c>
      <c r="H17" s="30">
        <f t="shared" si="3"/>
        <v>0</v>
      </c>
      <c r="I17" s="30"/>
      <c r="J17" s="30">
        <f t="shared" si="3"/>
        <v>832</v>
      </c>
      <c r="K17" s="30">
        <f t="shared" si="3"/>
        <v>0</v>
      </c>
      <c r="L17" s="30">
        <f t="shared" si="3"/>
        <v>0</v>
      </c>
      <c r="M17" s="30">
        <f>M4+M5</f>
        <v>0</v>
      </c>
    </row>
    <row r="18" spans="1:13" x14ac:dyDescent="0.2">
      <c r="A18" s="28" t="s">
        <v>37</v>
      </c>
      <c r="B18" s="30">
        <f t="shared" ref="B18:D27" si="4">B17+B6</f>
        <v>0</v>
      </c>
      <c r="C18" s="30">
        <f t="shared" si="4"/>
        <v>0</v>
      </c>
      <c r="D18" s="30">
        <f t="shared" si="4"/>
        <v>0</v>
      </c>
      <c r="E18" s="30"/>
      <c r="F18" s="30">
        <f t="shared" ref="F18:H27" si="5">F17+F6</f>
        <v>0</v>
      </c>
      <c r="G18" s="30">
        <f t="shared" si="5"/>
        <v>0</v>
      </c>
      <c r="H18" s="30">
        <f t="shared" si="5"/>
        <v>0</v>
      </c>
      <c r="I18" s="30"/>
      <c r="J18" s="30">
        <f t="shared" ref="J18:M27" si="6">J17+J6</f>
        <v>1248</v>
      </c>
      <c r="K18" s="30">
        <f t="shared" si="6"/>
        <v>0</v>
      </c>
      <c r="L18" s="30">
        <f t="shared" si="6"/>
        <v>0</v>
      </c>
      <c r="M18" s="30">
        <f t="shared" si="6"/>
        <v>0</v>
      </c>
    </row>
    <row r="19" spans="1:13" x14ac:dyDescent="0.2">
      <c r="A19" s="28" t="s">
        <v>29</v>
      </c>
      <c r="B19" s="30">
        <f t="shared" si="4"/>
        <v>0</v>
      </c>
      <c r="C19" s="30">
        <f t="shared" si="4"/>
        <v>0</v>
      </c>
      <c r="D19" s="30">
        <f t="shared" si="4"/>
        <v>0</v>
      </c>
      <c r="E19" s="30"/>
      <c r="F19" s="30">
        <f t="shared" si="5"/>
        <v>0</v>
      </c>
      <c r="G19" s="30">
        <f t="shared" si="5"/>
        <v>0</v>
      </c>
      <c r="H19" s="30">
        <f t="shared" si="5"/>
        <v>0</v>
      </c>
      <c r="I19" s="30"/>
      <c r="J19" s="30">
        <f t="shared" si="6"/>
        <v>1635</v>
      </c>
      <c r="K19" s="30">
        <f t="shared" si="6"/>
        <v>0</v>
      </c>
      <c r="L19" s="30">
        <f t="shared" si="6"/>
        <v>0</v>
      </c>
      <c r="M19" s="30">
        <f t="shared" si="6"/>
        <v>0</v>
      </c>
    </row>
    <row r="20" spans="1:13" x14ac:dyDescent="0.2">
      <c r="A20" s="28" t="s">
        <v>30</v>
      </c>
      <c r="B20" s="30">
        <f t="shared" si="4"/>
        <v>0</v>
      </c>
      <c r="C20" s="30">
        <f t="shared" si="4"/>
        <v>0</v>
      </c>
      <c r="D20" s="30">
        <f t="shared" si="4"/>
        <v>0</v>
      </c>
      <c r="E20" s="30"/>
      <c r="F20" s="30">
        <f t="shared" si="5"/>
        <v>0</v>
      </c>
      <c r="G20" s="30">
        <f t="shared" si="5"/>
        <v>0</v>
      </c>
      <c r="H20" s="30">
        <f t="shared" si="5"/>
        <v>0</v>
      </c>
      <c r="I20" s="30"/>
      <c r="J20" s="30">
        <f t="shared" si="6"/>
        <v>1635</v>
      </c>
      <c r="K20" s="30">
        <f t="shared" si="6"/>
        <v>0</v>
      </c>
      <c r="L20" s="30">
        <f t="shared" si="6"/>
        <v>0</v>
      </c>
      <c r="M20" s="30">
        <f t="shared" si="6"/>
        <v>0</v>
      </c>
    </row>
    <row r="21" spans="1:13" x14ac:dyDescent="0.2">
      <c r="A21" s="28" t="s">
        <v>31</v>
      </c>
      <c r="B21" s="30">
        <f t="shared" si="4"/>
        <v>0</v>
      </c>
      <c r="C21" s="30">
        <f t="shared" si="4"/>
        <v>0</v>
      </c>
      <c r="D21" s="30">
        <f t="shared" si="4"/>
        <v>0</v>
      </c>
      <c r="E21" s="30"/>
      <c r="F21" s="30">
        <f t="shared" si="5"/>
        <v>0</v>
      </c>
      <c r="G21" s="30">
        <f t="shared" si="5"/>
        <v>0</v>
      </c>
      <c r="H21" s="30">
        <f t="shared" si="5"/>
        <v>0</v>
      </c>
      <c r="I21" s="30"/>
      <c r="J21" s="30">
        <f t="shared" si="6"/>
        <v>1635</v>
      </c>
      <c r="K21" s="30">
        <f t="shared" si="6"/>
        <v>0</v>
      </c>
      <c r="L21" s="30">
        <f t="shared" si="6"/>
        <v>0</v>
      </c>
      <c r="M21" s="30">
        <f t="shared" si="6"/>
        <v>0</v>
      </c>
    </row>
    <row r="22" spans="1:13" x14ac:dyDescent="0.2">
      <c r="A22" s="28" t="s">
        <v>32</v>
      </c>
      <c r="B22" s="30">
        <f t="shared" si="4"/>
        <v>0</v>
      </c>
      <c r="C22" s="30">
        <f t="shared" si="4"/>
        <v>0</v>
      </c>
      <c r="D22" s="30">
        <f t="shared" si="4"/>
        <v>0</v>
      </c>
      <c r="E22" s="30"/>
      <c r="F22" s="30">
        <f t="shared" si="5"/>
        <v>0</v>
      </c>
      <c r="G22" s="30">
        <f t="shared" si="5"/>
        <v>0</v>
      </c>
      <c r="H22" s="30">
        <f t="shared" si="5"/>
        <v>0</v>
      </c>
      <c r="I22" s="30"/>
      <c r="J22" s="30">
        <f t="shared" si="6"/>
        <v>1635</v>
      </c>
      <c r="K22" s="30">
        <f t="shared" si="6"/>
        <v>0</v>
      </c>
      <c r="L22" s="30">
        <f t="shared" si="6"/>
        <v>0</v>
      </c>
      <c r="M22" s="30">
        <f t="shared" si="6"/>
        <v>0</v>
      </c>
    </row>
    <row r="23" spans="1:13" x14ac:dyDescent="0.2">
      <c r="A23" s="28" t="s">
        <v>33</v>
      </c>
      <c r="B23" s="30">
        <f t="shared" si="4"/>
        <v>0</v>
      </c>
      <c r="C23" s="30">
        <f t="shared" si="4"/>
        <v>0</v>
      </c>
      <c r="D23" s="30">
        <f t="shared" si="4"/>
        <v>0</v>
      </c>
      <c r="E23" s="30"/>
      <c r="F23" s="30">
        <f t="shared" si="5"/>
        <v>0</v>
      </c>
      <c r="G23" s="30">
        <f t="shared" si="5"/>
        <v>0</v>
      </c>
      <c r="H23" s="30">
        <f t="shared" si="5"/>
        <v>0</v>
      </c>
      <c r="I23" s="30"/>
      <c r="J23" s="30">
        <f t="shared" si="6"/>
        <v>1635</v>
      </c>
      <c r="K23" s="30">
        <f t="shared" si="6"/>
        <v>0</v>
      </c>
      <c r="L23" s="30">
        <f t="shared" si="6"/>
        <v>0</v>
      </c>
      <c r="M23" s="30">
        <f t="shared" si="6"/>
        <v>0</v>
      </c>
    </row>
    <row r="24" spans="1:13" x14ac:dyDescent="0.2">
      <c r="A24" s="28" t="s">
        <v>34</v>
      </c>
      <c r="B24" s="30">
        <f t="shared" si="4"/>
        <v>0</v>
      </c>
      <c r="C24" s="30">
        <f t="shared" si="4"/>
        <v>0</v>
      </c>
      <c r="D24" s="30">
        <f t="shared" si="4"/>
        <v>0</v>
      </c>
      <c r="E24" s="30"/>
      <c r="F24" s="30">
        <f t="shared" si="5"/>
        <v>0</v>
      </c>
      <c r="G24" s="30">
        <f t="shared" si="5"/>
        <v>0</v>
      </c>
      <c r="H24" s="30">
        <f t="shared" si="5"/>
        <v>0</v>
      </c>
      <c r="I24" s="30"/>
      <c r="J24" s="30">
        <f t="shared" si="6"/>
        <v>1635</v>
      </c>
      <c r="K24" s="30">
        <f t="shared" si="6"/>
        <v>0</v>
      </c>
      <c r="L24" s="30">
        <f t="shared" si="6"/>
        <v>0</v>
      </c>
      <c r="M24" s="30">
        <f t="shared" si="6"/>
        <v>0</v>
      </c>
    </row>
    <row r="25" spans="1:13" x14ac:dyDescent="0.2">
      <c r="A25" s="29" t="s">
        <v>35</v>
      </c>
      <c r="B25" s="31">
        <f t="shared" si="4"/>
        <v>0</v>
      </c>
      <c r="C25" s="31">
        <f t="shared" si="4"/>
        <v>0</v>
      </c>
      <c r="D25" s="31">
        <f t="shared" si="4"/>
        <v>0</v>
      </c>
      <c r="E25" s="31"/>
      <c r="F25" s="31">
        <f t="shared" si="5"/>
        <v>0</v>
      </c>
      <c r="G25" s="31">
        <f t="shared" si="5"/>
        <v>0</v>
      </c>
      <c r="H25" s="31">
        <f t="shared" si="5"/>
        <v>0</v>
      </c>
      <c r="I25" s="31"/>
      <c r="J25" s="31">
        <f t="shared" si="6"/>
        <v>1635</v>
      </c>
      <c r="K25" s="31">
        <f t="shared" si="6"/>
        <v>0</v>
      </c>
      <c r="L25" s="31">
        <f t="shared" si="6"/>
        <v>0</v>
      </c>
      <c r="M25" s="31">
        <f t="shared" si="6"/>
        <v>0</v>
      </c>
    </row>
    <row r="26" spans="1:13" x14ac:dyDescent="0.2">
      <c r="A26" s="29" t="s">
        <v>36</v>
      </c>
      <c r="B26" s="31">
        <f t="shared" si="4"/>
        <v>0</v>
      </c>
      <c r="C26" s="31">
        <f t="shared" si="4"/>
        <v>0</v>
      </c>
      <c r="D26" s="31">
        <f t="shared" si="4"/>
        <v>0</v>
      </c>
      <c r="E26" s="31"/>
      <c r="F26" s="31">
        <f t="shared" si="5"/>
        <v>0</v>
      </c>
      <c r="G26" s="31">
        <f t="shared" si="5"/>
        <v>0</v>
      </c>
      <c r="H26" s="31">
        <f t="shared" si="5"/>
        <v>0</v>
      </c>
      <c r="I26" s="31"/>
      <c r="J26" s="31">
        <f t="shared" si="6"/>
        <v>1635</v>
      </c>
      <c r="K26" s="31">
        <f t="shared" si="6"/>
        <v>0</v>
      </c>
      <c r="L26" s="31">
        <f t="shared" si="6"/>
        <v>0</v>
      </c>
      <c r="M26" s="31">
        <f t="shared" si="6"/>
        <v>0</v>
      </c>
    </row>
    <row r="27" spans="1:13" x14ac:dyDescent="0.2">
      <c r="A27" s="12" t="s">
        <v>15</v>
      </c>
      <c r="B27" s="32">
        <f t="shared" si="4"/>
        <v>0</v>
      </c>
      <c r="C27" s="32">
        <f t="shared" si="4"/>
        <v>0</v>
      </c>
      <c r="D27" s="32">
        <f t="shared" si="4"/>
        <v>0</v>
      </c>
      <c r="E27" s="32"/>
      <c r="F27" s="32">
        <f t="shared" si="5"/>
        <v>0</v>
      </c>
      <c r="G27" s="32">
        <f t="shared" si="5"/>
        <v>0</v>
      </c>
      <c r="H27" s="32">
        <f t="shared" si="5"/>
        <v>0</v>
      </c>
      <c r="I27" s="32"/>
      <c r="J27" s="32">
        <f t="shared" si="6"/>
        <v>1635</v>
      </c>
      <c r="K27" s="32">
        <f t="shared" si="6"/>
        <v>0</v>
      </c>
      <c r="L27" s="32">
        <f t="shared" si="6"/>
        <v>0</v>
      </c>
      <c r="M27" s="32">
        <f t="shared" si="6"/>
        <v>0</v>
      </c>
    </row>
  </sheetData>
  <mergeCells count="6">
    <mergeCell ref="B1:D1"/>
    <mergeCell ref="F1:H1"/>
    <mergeCell ref="J1:M1"/>
    <mergeCell ref="C2:D2"/>
    <mergeCell ref="G2:H2"/>
    <mergeCell ref="K2:M2"/>
  </mergeCells>
  <phoneticPr fontId="34" type="noConversion"/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10.5703125" hidden="1" customWidth="1"/>
    <col min="6" max="6" width="0" hidden="1" customWidth="1"/>
    <col min="7" max="7" width="11" hidden="1" customWidth="1"/>
    <col min="8" max="9" width="10.85546875" hidden="1" customWidth="1"/>
    <col min="12" max="12" width="10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359" t="s">
        <v>22</v>
      </c>
      <c r="K1" s="358"/>
      <c r="L1" s="358"/>
      <c r="M1" s="362"/>
      <c r="S1" t="s">
        <v>193</v>
      </c>
      <c r="W1" t="s">
        <v>173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21" t="s">
        <v>27</v>
      </c>
      <c r="L3" s="21" t="s">
        <v>26</v>
      </c>
      <c r="M3" s="134" t="s">
        <v>113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>
        <v>166</v>
      </c>
      <c r="K4" s="22"/>
      <c r="L4" s="22"/>
      <c r="M4" s="21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>
        <v>166</v>
      </c>
      <c r="K5" s="22"/>
      <c r="L5" s="22"/>
      <c r="M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166</v>
      </c>
      <c r="K6" s="22"/>
      <c r="L6" s="22"/>
      <c r="M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166</v>
      </c>
      <c r="K7" s="22"/>
      <c r="L7" s="22"/>
      <c r="M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v>167</v>
      </c>
      <c r="K8" s="22"/>
      <c r="L8" s="22"/>
      <c r="M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167</v>
      </c>
      <c r="K9" s="22"/>
      <c r="L9" s="22"/>
      <c r="M9" s="21"/>
    </row>
    <row r="10" spans="1:27" x14ac:dyDescent="0.2">
      <c r="A10" s="82" t="s">
        <v>19</v>
      </c>
      <c r="B10" s="104">
        <f t="shared" si="0"/>
        <v>0</v>
      </c>
      <c r="C10" s="22"/>
      <c r="D10" s="22"/>
      <c r="E10" s="22"/>
      <c r="F10" s="104">
        <f t="shared" si="1"/>
        <v>0</v>
      </c>
      <c r="G10" s="84"/>
      <c r="H10" s="84"/>
      <c r="I10" s="84"/>
      <c r="J10" s="22">
        <v>142</v>
      </c>
      <c r="K10" s="22"/>
      <c r="L10" s="22"/>
      <c r="M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140</v>
      </c>
      <c r="K11" s="22"/>
      <c r="L11" s="22"/>
      <c r="M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140</v>
      </c>
      <c r="K12" s="22"/>
      <c r="L12" s="22"/>
      <c r="M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130</v>
      </c>
      <c r="K13" s="22"/>
      <c r="L13" s="22"/>
      <c r="M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/>
      <c r="K14" s="22"/>
      <c r="L14" s="22"/>
      <c r="M14" s="21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/>
      <c r="K15" s="22"/>
      <c r="L15" s="22"/>
      <c r="M15" s="21"/>
    </row>
    <row r="16" spans="1:27" x14ac:dyDescent="0.2">
      <c r="A16" s="1" t="s">
        <v>6</v>
      </c>
      <c r="B16" s="22">
        <f t="shared" ref="B16:J16" si="2">SUM(B4:B15)</f>
        <v>0</v>
      </c>
      <c r="C16" s="22">
        <f t="shared" si="2"/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1550</v>
      </c>
      <c r="K16" s="22">
        <f>SUM(K4:K15)</f>
        <v>0</v>
      </c>
      <c r="L16" s="22">
        <f>SUM(L4:L15)</f>
        <v>0</v>
      </c>
      <c r="M16" s="22">
        <f>SUM(M4:M15)</f>
        <v>0</v>
      </c>
    </row>
    <row r="17" spans="1:13" x14ac:dyDescent="0.2">
      <c r="A17" s="28" t="s">
        <v>28</v>
      </c>
      <c r="B17" s="30">
        <f t="shared" ref="B17:L17" si="3">B4+B5</f>
        <v>0</v>
      </c>
      <c r="C17" s="30">
        <f t="shared" si="3"/>
        <v>0</v>
      </c>
      <c r="D17" s="30">
        <f t="shared" si="3"/>
        <v>0</v>
      </c>
      <c r="E17" s="30"/>
      <c r="F17" s="30">
        <f t="shared" si="3"/>
        <v>0</v>
      </c>
      <c r="G17" s="30">
        <f t="shared" si="3"/>
        <v>0</v>
      </c>
      <c r="H17" s="30">
        <f t="shared" si="3"/>
        <v>0</v>
      </c>
      <c r="I17" s="30"/>
      <c r="J17" s="30">
        <f t="shared" si="3"/>
        <v>332</v>
      </c>
      <c r="K17" s="30">
        <f t="shared" si="3"/>
        <v>0</v>
      </c>
      <c r="L17" s="30">
        <f t="shared" si="3"/>
        <v>0</v>
      </c>
      <c r="M17" s="30">
        <f>M4+M5</f>
        <v>0</v>
      </c>
    </row>
    <row r="18" spans="1:13" x14ac:dyDescent="0.2">
      <c r="A18" s="28" t="s">
        <v>37</v>
      </c>
      <c r="B18" s="30">
        <f t="shared" ref="B18:B27" si="4">B17+B6</f>
        <v>0</v>
      </c>
      <c r="C18" s="30">
        <f t="shared" ref="C18:C27" si="5">C17+C6</f>
        <v>0</v>
      </c>
      <c r="D18" s="30">
        <f t="shared" ref="D18:D27" si="6">D17+D6</f>
        <v>0</v>
      </c>
      <c r="E18" s="30"/>
      <c r="F18" s="30">
        <f t="shared" ref="F18:F27" si="7">F17+F6</f>
        <v>0</v>
      </c>
      <c r="G18" s="30">
        <f t="shared" ref="G18:G27" si="8">G17+G6</f>
        <v>0</v>
      </c>
      <c r="H18" s="30">
        <f t="shared" ref="H18:H27" si="9">H17+H6</f>
        <v>0</v>
      </c>
      <c r="I18" s="30"/>
      <c r="J18" s="30">
        <f t="shared" ref="J18:J27" si="10">J17+J6</f>
        <v>498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</row>
    <row r="19" spans="1:13" x14ac:dyDescent="0.2">
      <c r="A19" s="28" t="s">
        <v>29</v>
      </c>
      <c r="B19" s="30">
        <f t="shared" si="4"/>
        <v>0</v>
      </c>
      <c r="C19" s="30">
        <f t="shared" si="5"/>
        <v>0</v>
      </c>
      <c r="D19" s="30">
        <f t="shared" si="6"/>
        <v>0</v>
      </c>
      <c r="E19" s="30"/>
      <c r="F19" s="30">
        <f t="shared" si="7"/>
        <v>0</v>
      </c>
      <c r="G19" s="30">
        <f t="shared" si="8"/>
        <v>0</v>
      </c>
      <c r="H19" s="30">
        <f t="shared" si="9"/>
        <v>0</v>
      </c>
      <c r="I19" s="30"/>
      <c r="J19" s="30">
        <f t="shared" si="10"/>
        <v>664</v>
      </c>
      <c r="K19" s="30">
        <f t="shared" si="11"/>
        <v>0</v>
      </c>
      <c r="L19" s="30">
        <f t="shared" si="12"/>
        <v>0</v>
      </c>
      <c r="M19" s="30">
        <f t="shared" si="12"/>
        <v>0</v>
      </c>
    </row>
    <row r="20" spans="1:13" x14ac:dyDescent="0.2">
      <c r="A20" s="28" t="s">
        <v>30</v>
      </c>
      <c r="B20" s="30">
        <f t="shared" si="4"/>
        <v>0</v>
      </c>
      <c r="C20" s="30">
        <f t="shared" si="5"/>
        <v>0</v>
      </c>
      <c r="D20" s="30">
        <f t="shared" si="6"/>
        <v>0</v>
      </c>
      <c r="E20" s="30"/>
      <c r="F20" s="30">
        <f t="shared" si="7"/>
        <v>0</v>
      </c>
      <c r="G20" s="30">
        <f t="shared" si="8"/>
        <v>0</v>
      </c>
      <c r="H20" s="30">
        <f t="shared" si="9"/>
        <v>0</v>
      </c>
      <c r="I20" s="30"/>
      <c r="J20" s="30">
        <f t="shared" si="10"/>
        <v>831</v>
      </c>
      <c r="K20" s="30">
        <f t="shared" si="11"/>
        <v>0</v>
      </c>
      <c r="L20" s="30">
        <f t="shared" si="12"/>
        <v>0</v>
      </c>
      <c r="M20" s="30">
        <f t="shared" si="12"/>
        <v>0</v>
      </c>
    </row>
    <row r="21" spans="1:13" x14ac:dyDescent="0.2">
      <c r="A21" s="28" t="s">
        <v>31</v>
      </c>
      <c r="B21" s="30">
        <f t="shared" si="4"/>
        <v>0</v>
      </c>
      <c r="C21" s="30">
        <f t="shared" si="5"/>
        <v>0</v>
      </c>
      <c r="D21" s="30">
        <f t="shared" si="6"/>
        <v>0</v>
      </c>
      <c r="E21" s="30"/>
      <c r="F21" s="30">
        <f t="shared" si="7"/>
        <v>0</v>
      </c>
      <c r="G21" s="30">
        <f t="shared" si="8"/>
        <v>0</v>
      </c>
      <c r="H21" s="30">
        <f t="shared" si="9"/>
        <v>0</v>
      </c>
      <c r="I21" s="30"/>
      <c r="J21" s="30">
        <f t="shared" si="10"/>
        <v>998</v>
      </c>
      <c r="K21" s="30">
        <f t="shared" si="11"/>
        <v>0</v>
      </c>
      <c r="L21" s="30">
        <f t="shared" si="12"/>
        <v>0</v>
      </c>
      <c r="M21" s="30">
        <f t="shared" si="12"/>
        <v>0</v>
      </c>
    </row>
    <row r="22" spans="1:13" x14ac:dyDescent="0.2">
      <c r="A22" s="28" t="s">
        <v>32</v>
      </c>
      <c r="B22" s="30">
        <f t="shared" si="4"/>
        <v>0</v>
      </c>
      <c r="C22" s="30">
        <f t="shared" si="5"/>
        <v>0</v>
      </c>
      <c r="D22" s="30">
        <f t="shared" si="6"/>
        <v>0</v>
      </c>
      <c r="E22" s="30"/>
      <c r="F22" s="30">
        <f t="shared" si="7"/>
        <v>0</v>
      </c>
      <c r="G22" s="30">
        <f t="shared" si="8"/>
        <v>0</v>
      </c>
      <c r="H22" s="30">
        <f t="shared" si="9"/>
        <v>0</v>
      </c>
      <c r="I22" s="30"/>
      <c r="J22" s="30">
        <f t="shared" si="10"/>
        <v>1140</v>
      </c>
      <c r="K22" s="30">
        <f t="shared" si="11"/>
        <v>0</v>
      </c>
      <c r="L22" s="30">
        <f t="shared" si="12"/>
        <v>0</v>
      </c>
      <c r="M22" s="30">
        <f t="shared" si="12"/>
        <v>0</v>
      </c>
    </row>
    <row r="23" spans="1:13" x14ac:dyDescent="0.2">
      <c r="A23" s="28" t="s">
        <v>33</v>
      </c>
      <c r="B23" s="30">
        <f t="shared" si="4"/>
        <v>0</v>
      </c>
      <c r="C23" s="30">
        <f t="shared" si="5"/>
        <v>0</v>
      </c>
      <c r="D23" s="30">
        <f t="shared" si="6"/>
        <v>0</v>
      </c>
      <c r="E23" s="30"/>
      <c r="F23" s="30">
        <f t="shared" si="7"/>
        <v>0</v>
      </c>
      <c r="G23" s="30">
        <f t="shared" si="8"/>
        <v>0</v>
      </c>
      <c r="H23" s="30">
        <f t="shared" si="9"/>
        <v>0</v>
      </c>
      <c r="I23" s="30"/>
      <c r="J23" s="30">
        <f t="shared" si="10"/>
        <v>1280</v>
      </c>
      <c r="K23" s="30">
        <f t="shared" si="11"/>
        <v>0</v>
      </c>
      <c r="L23" s="30">
        <f t="shared" si="12"/>
        <v>0</v>
      </c>
      <c r="M23" s="30">
        <f t="shared" si="12"/>
        <v>0</v>
      </c>
    </row>
    <row r="24" spans="1:13" x14ac:dyDescent="0.2">
      <c r="A24" s="28" t="s">
        <v>34</v>
      </c>
      <c r="B24" s="30">
        <f t="shared" si="4"/>
        <v>0</v>
      </c>
      <c r="C24" s="30">
        <f t="shared" si="5"/>
        <v>0</v>
      </c>
      <c r="D24" s="30">
        <f t="shared" si="6"/>
        <v>0</v>
      </c>
      <c r="E24" s="30"/>
      <c r="F24" s="30">
        <f t="shared" si="7"/>
        <v>0</v>
      </c>
      <c r="G24" s="30">
        <f t="shared" si="8"/>
        <v>0</v>
      </c>
      <c r="H24" s="30">
        <f t="shared" si="9"/>
        <v>0</v>
      </c>
      <c r="I24" s="30"/>
      <c r="J24" s="30">
        <f t="shared" si="10"/>
        <v>1420</v>
      </c>
      <c r="K24" s="30">
        <f t="shared" si="11"/>
        <v>0</v>
      </c>
      <c r="L24" s="30">
        <f t="shared" si="12"/>
        <v>0</v>
      </c>
      <c r="M24" s="30">
        <f t="shared" si="12"/>
        <v>0</v>
      </c>
    </row>
    <row r="25" spans="1:13" x14ac:dyDescent="0.2">
      <c r="A25" s="29" t="s">
        <v>35</v>
      </c>
      <c r="B25" s="31">
        <f t="shared" si="4"/>
        <v>0</v>
      </c>
      <c r="C25" s="31">
        <f t="shared" si="5"/>
        <v>0</v>
      </c>
      <c r="D25" s="31">
        <f t="shared" si="6"/>
        <v>0</v>
      </c>
      <c r="E25" s="31"/>
      <c r="F25" s="31">
        <f t="shared" si="7"/>
        <v>0</v>
      </c>
      <c r="G25" s="31">
        <f t="shared" si="8"/>
        <v>0</v>
      </c>
      <c r="H25" s="31">
        <f t="shared" si="9"/>
        <v>0</v>
      </c>
      <c r="I25" s="31"/>
      <c r="J25" s="31">
        <f t="shared" si="10"/>
        <v>1550</v>
      </c>
      <c r="K25" s="31">
        <f t="shared" si="11"/>
        <v>0</v>
      </c>
      <c r="L25" s="31">
        <f t="shared" si="12"/>
        <v>0</v>
      </c>
      <c r="M25" s="31">
        <f t="shared" si="12"/>
        <v>0</v>
      </c>
    </row>
    <row r="26" spans="1:13" x14ac:dyDescent="0.2">
      <c r="A26" s="29" t="s">
        <v>36</v>
      </c>
      <c r="B26" s="31">
        <f t="shared" si="4"/>
        <v>0</v>
      </c>
      <c r="C26" s="31">
        <f t="shared" si="5"/>
        <v>0</v>
      </c>
      <c r="D26" s="31">
        <f t="shared" si="6"/>
        <v>0</v>
      </c>
      <c r="E26" s="31"/>
      <c r="F26" s="31">
        <f t="shared" si="7"/>
        <v>0</v>
      </c>
      <c r="G26" s="31">
        <f t="shared" si="8"/>
        <v>0</v>
      </c>
      <c r="H26" s="31">
        <f t="shared" si="9"/>
        <v>0</v>
      </c>
      <c r="I26" s="31"/>
      <c r="J26" s="31">
        <f t="shared" si="10"/>
        <v>1550</v>
      </c>
      <c r="K26" s="31">
        <f t="shared" si="11"/>
        <v>0</v>
      </c>
      <c r="L26" s="31">
        <f t="shared" si="12"/>
        <v>0</v>
      </c>
      <c r="M26" s="31">
        <f t="shared" si="12"/>
        <v>0</v>
      </c>
    </row>
    <row r="27" spans="1:13" x14ac:dyDescent="0.2">
      <c r="A27" s="12" t="s">
        <v>15</v>
      </c>
      <c r="B27" s="32">
        <f t="shared" si="4"/>
        <v>0</v>
      </c>
      <c r="C27" s="32">
        <f t="shared" si="5"/>
        <v>0</v>
      </c>
      <c r="D27" s="32">
        <f t="shared" si="6"/>
        <v>0</v>
      </c>
      <c r="E27" s="32"/>
      <c r="F27" s="32">
        <f t="shared" si="7"/>
        <v>0</v>
      </c>
      <c r="G27" s="32">
        <f t="shared" si="8"/>
        <v>0</v>
      </c>
      <c r="H27" s="32">
        <f t="shared" si="9"/>
        <v>0</v>
      </c>
      <c r="I27" s="32"/>
      <c r="J27" s="32">
        <f t="shared" si="10"/>
        <v>1550</v>
      </c>
      <c r="K27" s="32">
        <f t="shared" si="11"/>
        <v>0</v>
      </c>
      <c r="L27" s="32">
        <f t="shared" si="12"/>
        <v>0</v>
      </c>
      <c r="M27" s="32">
        <f t="shared" si="12"/>
        <v>0</v>
      </c>
    </row>
    <row r="28" spans="1:13" x14ac:dyDescent="0.2">
      <c r="C28" s="16"/>
      <c r="D28" s="16"/>
      <c r="E28" s="16"/>
      <c r="G28" s="16"/>
      <c r="H28" s="16"/>
      <c r="I28" s="16"/>
      <c r="L28" s="16"/>
    </row>
    <row r="29" spans="1:13" x14ac:dyDescent="0.2">
      <c r="C29" s="16"/>
      <c r="D29" s="16"/>
      <c r="E29" s="16"/>
      <c r="L29" s="16"/>
    </row>
    <row r="30" spans="1:13" x14ac:dyDescent="0.2">
      <c r="C30" s="16"/>
      <c r="D30" s="16"/>
      <c r="E30" s="16"/>
      <c r="L30" s="16"/>
    </row>
    <row r="31" spans="1:13" x14ac:dyDescent="0.2">
      <c r="C31" s="16"/>
      <c r="D31" s="16"/>
      <c r="E31" s="16"/>
      <c r="L31" s="16"/>
    </row>
    <row r="32" spans="1:13" x14ac:dyDescent="0.2">
      <c r="C32" s="16"/>
      <c r="D32" s="16"/>
      <c r="E32" s="16"/>
      <c r="L32" s="16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</sheetData>
  <mergeCells count="6">
    <mergeCell ref="K2:M2"/>
    <mergeCell ref="J1:M1"/>
    <mergeCell ref="C2:D2"/>
    <mergeCell ref="G2:H2"/>
    <mergeCell ref="B1:D1"/>
    <mergeCell ref="F1:H1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9.140625" hidden="1" customWidth="1"/>
    <col min="3" max="5" width="10.5703125" hidden="1" customWidth="1"/>
    <col min="6" max="6" width="9.140625" hidden="1" customWidth="1"/>
    <col min="7" max="7" width="11" hidden="1" customWidth="1"/>
    <col min="8" max="9" width="10.85546875" hidden="1" customWidth="1"/>
    <col min="12" max="12" width="10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359" t="s">
        <v>22</v>
      </c>
      <c r="K1" s="358"/>
      <c r="L1" s="358"/>
      <c r="M1" s="362"/>
      <c r="N1" s="359" t="s">
        <v>185</v>
      </c>
      <c r="O1" s="358"/>
      <c r="P1" s="358"/>
      <c r="Q1" s="362"/>
      <c r="S1" t="s">
        <v>193</v>
      </c>
      <c r="W1" t="s">
        <v>188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17" t="s">
        <v>27</v>
      </c>
      <c r="L3" s="15" t="s">
        <v>26</v>
      </c>
      <c r="M3" s="15" t="s">
        <v>105</v>
      </c>
      <c r="N3" s="7"/>
      <c r="O3" s="17" t="s">
        <v>27</v>
      </c>
      <c r="P3" s="15" t="s">
        <v>26</v>
      </c>
      <c r="Q3" s="15" t="s">
        <v>105</v>
      </c>
    </row>
    <row r="4" spans="1:27" x14ac:dyDescent="0.2">
      <c r="A4" s="1" t="s">
        <v>4</v>
      </c>
      <c r="B4" s="22">
        <f>C4+D4+E4</f>
        <v>0</v>
      </c>
      <c r="C4" s="22"/>
      <c r="D4" s="22"/>
      <c r="E4" s="22"/>
      <c r="F4" s="22">
        <f>G4+H4+I4</f>
        <v>0</v>
      </c>
      <c r="G4" s="22"/>
      <c r="H4" s="22"/>
      <c r="I4" s="22"/>
      <c r="J4" s="22">
        <f>K4+L4+M4</f>
        <v>2033</v>
      </c>
      <c r="K4" s="22">
        <v>483</v>
      </c>
      <c r="L4" s="22">
        <v>900</v>
      </c>
      <c r="M4" s="22">
        <v>650</v>
      </c>
      <c r="N4" s="22">
        <f>O4+P4+Q4</f>
        <v>0</v>
      </c>
      <c r="O4" s="22"/>
      <c r="P4" s="22"/>
      <c r="Q4" s="22"/>
    </row>
    <row r="5" spans="1:27" x14ac:dyDescent="0.2">
      <c r="A5" s="1" t="s">
        <v>7</v>
      </c>
      <c r="B5" s="22">
        <f t="shared" ref="B5:B15" si="0">C5+D5+E5</f>
        <v>0</v>
      </c>
      <c r="C5" s="22"/>
      <c r="D5" s="22"/>
      <c r="E5" s="22"/>
      <c r="F5" s="22">
        <f t="shared" ref="F5:F15" si="1">G5+H5+I5</f>
        <v>0</v>
      </c>
      <c r="G5" s="22"/>
      <c r="H5" s="22"/>
      <c r="I5" s="22"/>
      <c r="J5" s="22">
        <f t="shared" ref="J5:J15" si="2">K5+L5+M5</f>
        <v>2000</v>
      </c>
      <c r="K5" s="22">
        <v>650</v>
      </c>
      <c r="L5" s="22">
        <v>700</v>
      </c>
      <c r="M5" s="22">
        <v>650</v>
      </c>
      <c r="N5" s="22">
        <f t="shared" ref="N5:N15" si="3">O5+P5+Q5</f>
        <v>0</v>
      </c>
      <c r="O5" s="22"/>
      <c r="P5" s="22"/>
      <c r="Q5" s="22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f t="shared" si="2"/>
        <v>2000</v>
      </c>
      <c r="K6" s="22">
        <v>650</v>
      </c>
      <c r="L6" s="22">
        <v>700</v>
      </c>
      <c r="M6" s="22">
        <v>650</v>
      </c>
      <c r="N6" s="22">
        <f t="shared" si="3"/>
        <v>0</v>
      </c>
      <c r="O6" s="22"/>
      <c r="P6" s="22"/>
      <c r="Q6" s="22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f t="shared" si="2"/>
        <v>2000</v>
      </c>
      <c r="K7" s="22">
        <v>650</v>
      </c>
      <c r="L7" s="22">
        <v>700</v>
      </c>
      <c r="M7" s="22">
        <v>650</v>
      </c>
      <c r="N7" s="22">
        <f t="shared" si="3"/>
        <v>0</v>
      </c>
      <c r="O7" s="22"/>
      <c r="P7" s="22"/>
      <c r="Q7" s="22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f t="shared" si="2"/>
        <v>2000</v>
      </c>
      <c r="K8" s="22">
        <v>650</v>
      </c>
      <c r="L8" s="22">
        <v>700</v>
      </c>
      <c r="M8" s="22">
        <v>650</v>
      </c>
      <c r="N8" s="22">
        <f t="shared" si="3"/>
        <v>0</v>
      </c>
      <c r="O8" s="22"/>
      <c r="P8" s="22"/>
      <c r="Q8" s="22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f t="shared" si="2"/>
        <v>1200</v>
      </c>
      <c r="K9" s="22">
        <v>400</v>
      </c>
      <c r="L9" s="22">
        <v>400</v>
      </c>
      <c r="M9" s="22">
        <v>400</v>
      </c>
      <c r="N9" s="22">
        <f t="shared" si="3"/>
        <v>0</v>
      </c>
      <c r="O9" s="22"/>
      <c r="P9" s="22"/>
      <c r="Q9" s="22"/>
    </row>
    <row r="10" spans="1:27" x14ac:dyDescent="0.2">
      <c r="A10" s="82" t="s">
        <v>19</v>
      </c>
      <c r="B10" s="22">
        <f t="shared" si="0"/>
        <v>0</v>
      </c>
      <c r="C10" s="84"/>
      <c r="D10" s="84"/>
      <c r="E10" s="84"/>
      <c r="F10" s="22">
        <f t="shared" si="1"/>
        <v>0</v>
      </c>
      <c r="G10" s="84"/>
      <c r="H10" s="84"/>
      <c r="I10" s="84"/>
      <c r="J10" s="22">
        <f t="shared" si="2"/>
        <v>1200</v>
      </c>
      <c r="K10" s="22">
        <v>400</v>
      </c>
      <c r="L10" s="22">
        <v>400</v>
      </c>
      <c r="M10" s="22">
        <v>400</v>
      </c>
      <c r="N10" s="22">
        <f t="shared" si="3"/>
        <v>0</v>
      </c>
      <c r="O10" s="22"/>
      <c r="P10" s="22"/>
      <c r="Q10" s="22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f t="shared" si="2"/>
        <v>300</v>
      </c>
      <c r="K11" s="22">
        <v>100</v>
      </c>
      <c r="L11" s="22">
        <v>100</v>
      </c>
      <c r="M11" s="22">
        <v>100</v>
      </c>
      <c r="N11" s="22">
        <f t="shared" si="3"/>
        <v>928</v>
      </c>
      <c r="O11" s="22">
        <v>264</v>
      </c>
      <c r="P11" s="22">
        <v>400</v>
      </c>
      <c r="Q11" s="22">
        <v>264</v>
      </c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f t="shared" si="2"/>
        <v>300</v>
      </c>
      <c r="K12" s="22">
        <v>100</v>
      </c>
      <c r="L12" s="22">
        <v>100</v>
      </c>
      <c r="M12" s="22">
        <v>100</v>
      </c>
      <c r="N12" s="22">
        <f t="shared" si="3"/>
        <v>928</v>
      </c>
      <c r="O12" s="22">
        <v>200</v>
      </c>
      <c r="P12" s="22">
        <v>400</v>
      </c>
      <c r="Q12" s="22">
        <v>328</v>
      </c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f t="shared" si="2"/>
        <v>300</v>
      </c>
      <c r="K13" s="22">
        <v>100</v>
      </c>
      <c r="L13" s="22">
        <v>100</v>
      </c>
      <c r="M13" s="22">
        <v>100</v>
      </c>
      <c r="N13" s="22">
        <f t="shared" si="3"/>
        <v>928</v>
      </c>
      <c r="O13" s="22">
        <v>200</v>
      </c>
      <c r="P13" s="22">
        <v>400</v>
      </c>
      <c r="Q13" s="22">
        <v>328</v>
      </c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f t="shared" si="2"/>
        <v>300</v>
      </c>
      <c r="K14" s="22">
        <v>100</v>
      </c>
      <c r="L14" s="22">
        <v>100</v>
      </c>
      <c r="M14" s="22">
        <v>100</v>
      </c>
      <c r="N14" s="22">
        <f t="shared" si="3"/>
        <v>928</v>
      </c>
      <c r="O14" s="22">
        <v>200</v>
      </c>
      <c r="P14" s="22">
        <v>400</v>
      </c>
      <c r="Q14" s="22">
        <v>328</v>
      </c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f t="shared" si="2"/>
        <v>300</v>
      </c>
      <c r="K15" s="22">
        <v>100</v>
      </c>
      <c r="L15" s="22">
        <v>100</v>
      </c>
      <c r="M15" s="22">
        <v>100</v>
      </c>
      <c r="N15" s="22">
        <f t="shared" si="3"/>
        <v>928</v>
      </c>
      <c r="O15" s="22">
        <v>200</v>
      </c>
      <c r="P15" s="22">
        <v>400</v>
      </c>
      <c r="Q15" s="22">
        <v>328</v>
      </c>
    </row>
    <row r="16" spans="1:27" x14ac:dyDescent="0.2">
      <c r="A16" s="1" t="s">
        <v>6</v>
      </c>
      <c r="B16" s="22">
        <f t="shared" ref="B16:N16" si="4">SUM(B4:B15)</f>
        <v>0</v>
      </c>
      <c r="C16" s="22">
        <f t="shared" si="4"/>
        <v>0</v>
      </c>
      <c r="D16" s="22">
        <f t="shared" si="4"/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13933</v>
      </c>
      <c r="K16" s="22">
        <f t="shared" si="4"/>
        <v>4383</v>
      </c>
      <c r="L16" s="22">
        <f t="shared" si="4"/>
        <v>5000</v>
      </c>
      <c r="M16" s="22">
        <f t="shared" si="4"/>
        <v>4550</v>
      </c>
      <c r="N16" s="22">
        <f t="shared" si="4"/>
        <v>4640</v>
      </c>
      <c r="O16" s="22">
        <f>SUM(O4:O15)</f>
        <v>1064</v>
      </c>
      <c r="P16" s="22">
        <f>SUM(P4:P15)</f>
        <v>2000</v>
      </c>
      <c r="Q16" s="22">
        <f>SUM(Q4:Q15)</f>
        <v>1576</v>
      </c>
    </row>
    <row r="17" spans="1:17" x14ac:dyDescent="0.2">
      <c r="A17" s="28" t="s">
        <v>28</v>
      </c>
      <c r="B17" s="30">
        <f t="shared" ref="B17:L17" si="5">B4+B5</f>
        <v>0</v>
      </c>
      <c r="C17" s="30">
        <f t="shared" si="5"/>
        <v>0</v>
      </c>
      <c r="D17" s="30">
        <f t="shared" si="5"/>
        <v>0</v>
      </c>
      <c r="E17" s="30">
        <f>E4+E5</f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>I4+I5</f>
        <v>0</v>
      </c>
      <c r="J17" s="30">
        <f t="shared" si="5"/>
        <v>4033</v>
      </c>
      <c r="K17" s="30">
        <f t="shared" si="5"/>
        <v>1133</v>
      </c>
      <c r="L17" s="30">
        <f t="shared" si="5"/>
        <v>1600</v>
      </c>
      <c r="M17" s="30">
        <f>M4+M5</f>
        <v>1300</v>
      </c>
      <c r="N17" s="30">
        <f>N4+N5</f>
        <v>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37</v>
      </c>
      <c r="B18" s="30">
        <f t="shared" ref="B18:B27" si="6">B17+B6</f>
        <v>0</v>
      </c>
      <c r="C18" s="30">
        <f t="shared" ref="C18:C27" si="7">C17+C6</f>
        <v>0</v>
      </c>
      <c r="D18" s="30">
        <f t="shared" ref="D18:E27" si="8">D17+D6</f>
        <v>0</v>
      </c>
      <c r="E18" s="30">
        <f t="shared" si="8"/>
        <v>0</v>
      </c>
      <c r="F18" s="30">
        <f t="shared" ref="F18:F27" si="9">F17+F6</f>
        <v>0</v>
      </c>
      <c r="G18" s="30">
        <f t="shared" ref="G18:G27" si="10">G17+G6</f>
        <v>0</v>
      </c>
      <c r="H18" s="30">
        <f t="shared" ref="H18:I27" si="11">H17+H6</f>
        <v>0</v>
      </c>
      <c r="I18" s="30">
        <f t="shared" si="11"/>
        <v>0</v>
      </c>
      <c r="J18" s="30">
        <f t="shared" ref="J18:J27" si="12">J17+J6</f>
        <v>6033</v>
      </c>
      <c r="K18" s="30">
        <f t="shared" ref="K18:K27" si="13">K17+K6</f>
        <v>1783</v>
      </c>
      <c r="L18" s="30">
        <f t="shared" ref="L18:M27" si="14">L17+L6</f>
        <v>2300</v>
      </c>
      <c r="M18" s="30">
        <f t="shared" si="14"/>
        <v>1950</v>
      </c>
      <c r="N18" s="30">
        <f t="shared" ref="N18:N27" si="15">N17+N6</f>
        <v>0</v>
      </c>
      <c r="O18" s="30">
        <f t="shared" ref="O18:O27" si="16">O17+O6</f>
        <v>0</v>
      </c>
      <c r="P18" s="30">
        <f t="shared" ref="P18:P27" si="17">P17+P6</f>
        <v>0</v>
      </c>
      <c r="Q18" s="30">
        <f t="shared" ref="Q18:Q27" si="18">Q17+Q6</f>
        <v>0</v>
      </c>
    </row>
    <row r="19" spans="1:17" x14ac:dyDescent="0.2">
      <c r="A19" s="28" t="s">
        <v>29</v>
      </c>
      <c r="B19" s="30">
        <f t="shared" si="6"/>
        <v>0</v>
      </c>
      <c r="C19" s="30">
        <f t="shared" si="7"/>
        <v>0</v>
      </c>
      <c r="D19" s="30">
        <f t="shared" si="8"/>
        <v>0</v>
      </c>
      <c r="E19" s="30">
        <f t="shared" si="8"/>
        <v>0</v>
      </c>
      <c r="F19" s="30">
        <f t="shared" si="9"/>
        <v>0</v>
      </c>
      <c r="G19" s="30">
        <f t="shared" si="10"/>
        <v>0</v>
      </c>
      <c r="H19" s="30">
        <f t="shared" si="11"/>
        <v>0</v>
      </c>
      <c r="I19" s="30">
        <f t="shared" si="11"/>
        <v>0</v>
      </c>
      <c r="J19" s="30">
        <f t="shared" si="12"/>
        <v>8033</v>
      </c>
      <c r="K19" s="30">
        <f t="shared" si="13"/>
        <v>2433</v>
      </c>
      <c r="L19" s="30">
        <f t="shared" si="14"/>
        <v>3000</v>
      </c>
      <c r="M19" s="30">
        <f t="shared" si="14"/>
        <v>2600</v>
      </c>
      <c r="N19" s="30">
        <f t="shared" si="15"/>
        <v>0</v>
      </c>
      <c r="O19" s="30">
        <f t="shared" si="16"/>
        <v>0</v>
      </c>
      <c r="P19" s="30">
        <f t="shared" si="17"/>
        <v>0</v>
      </c>
      <c r="Q19" s="30">
        <f t="shared" si="18"/>
        <v>0</v>
      </c>
    </row>
    <row r="20" spans="1:17" x14ac:dyDescent="0.2">
      <c r="A20" s="28" t="s">
        <v>30</v>
      </c>
      <c r="B20" s="30">
        <f t="shared" si="6"/>
        <v>0</v>
      </c>
      <c r="C20" s="30">
        <f t="shared" si="7"/>
        <v>0</v>
      </c>
      <c r="D20" s="30">
        <f t="shared" si="8"/>
        <v>0</v>
      </c>
      <c r="E20" s="30">
        <f t="shared" si="8"/>
        <v>0</v>
      </c>
      <c r="F20" s="30">
        <f t="shared" si="9"/>
        <v>0</v>
      </c>
      <c r="G20" s="30">
        <f t="shared" si="10"/>
        <v>0</v>
      </c>
      <c r="H20" s="30">
        <f t="shared" si="11"/>
        <v>0</v>
      </c>
      <c r="I20" s="30">
        <f t="shared" si="11"/>
        <v>0</v>
      </c>
      <c r="J20" s="30">
        <f t="shared" si="12"/>
        <v>10033</v>
      </c>
      <c r="K20" s="30">
        <f t="shared" si="13"/>
        <v>3083</v>
      </c>
      <c r="L20" s="30">
        <f t="shared" si="14"/>
        <v>3700</v>
      </c>
      <c r="M20" s="30">
        <f t="shared" si="14"/>
        <v>3250</v>
      </c>
      <c r="N20" s="30">
        <f t="shared" si="15"/>
        <v>0</v>
      </c>
      <c r="O20" s="30">
        <f t="shared" si="16"/>
        <v>0</v>
      </c>
      <c r="P20" s="30">
        <f t="shared" si="17"/>
        <v>0</v>
      </c>
      <c r="Q20" s="30">
        <f t="shared" si="18"/>
        <v>0</v>
      </c>
    </row>
    <row r="21" spans="1:17" x14ac:dyDescent="0.2">
      <c r="A21" s="28" t="s">
        <v>31</v>
      </c>
      <c r="B21" s="30">
        <f t="shared" si="6"/>
        <v>0</v>
      </c>
      <c r="C21" s="30">
        <f t="shared" si="7"/>
        <v>0</v>
      </c>
      <c r="D21" s="30">
        <f t="shared" si="8"/>
        <v>0</v>
      </c>
      <c r="E21" s="30">
        <f t="shared" si="8"/>
        <v>0</v>
      </c>
      <c r="F21" s="30">
        <f t="shared" si="9"/>
        <v>0</v>
      </c>
      <c r="G21" s="30">
        <f t="shared" si="10"/>
        <v>0</v>
      </c>
      <c r="H21" s="30">
        <f t="shared" si="11"/>
        <v>0</v>
      </c>
      <c r="I21" s="30">
        <f t="shared" si="11"/>
        <v>0</v>
      </c>
      <c r="J21" s="30">
        <f t="shared" si="12"/>
        <v>11233</v>
      </c>
      <c r="K21" s="30">
        <f t="shared" si="13"/>
        <v>3483</v>
      </c>
      <c r="L21" s="30">
        <f t="shared" si="14"/>
        <v>4100</v>
      </c>
      <c r="M21" s="30">
        <f t="shared" si="14"/>
        <v>3650</v>
      </c>
      <c r="N21" s="30">
        <f t="shared" si="15"/>
        <v>0</v>
      </c>
      <c r="O21" s="30">
        <f t="shared" si="16"/>
        <v>0</v>
      </c>
      <c r="P21" s="30">
        <f t="shared" si="17"/>
        <v>0</v>
      </c>
      <c r="Q21" s="30">
        <f t="shared" si="18"/>
        <v>0</v>
      </c>
    </row>
    <row r="22" spans="1:17" x14ac:dyDescent="0.2">
      <c r="A22" s="28" t="s">
        <v>32</v>
      </c>
      <c r="B22" s="30">
        <f t="shared" si="6"/>
        <v>0</v>
      </c>
      <c r="C22" s="30">
        <f t="shared" si="7"/>
        <v>0</v>
      </c>
      <c r="D22" s="30">
        <f t="shared" si="8"/>
        <v>0</v>
      </c>
      <c r="E22" s="30">
        <f t="shared" si="8"/>
        <v>0</v>
      </c>
      <c r="F22" s="30">
        <f t="shared" si="9"/>
        <v>0</v>
      </c>
      <c r="G22" s="30">
        <f t="shared" si="10"/>
        <v>0</v>
      </c>
      <c r="H22" s="30">
        <f t="shared" si="11"/>
        <v>0</v>
      </c>
      <c r="I22" s="30">
        <f t="shared" si="11"/>
        <v>0</v>
      </c>
      <c r="J22" s="30">
        <f t="shared" si="12"/>
        <v>12433</v>
      </c>
      <c r="K22" s="30">
        <f t="shared" si="13"/>
        <v>3883</v>
      </c>
      <c r="L22" s="30">
        <f t="shared" si="14"/>
        <v>4500</v>
      </c>
      <c r="M22" s="30">
        <f t="shared" si="14"/>
        <v>4050</v>
      </c>
      <c r="N22" s="30">
        <f t="shared" si="15"/>
        <v>0</v>
      </c>
      <c r="O22" s="30">
        <f t="shared" si="16"/>
        <v>0</v>
      </c>
      <c r="P22" s="30">
        <f t="shared" si="17"/>
        <v>0</v>
      </c>
      <c r="Q22" s="30">
        <f t="shared" si="18"/>
        <v>0</v>
      </c>
    </row>
    <row r="23" spans="1:17" x14ac:dyDescent="0.2">
      <c r="A23" s="28" t="s">
        <v>33</v>
      </c>
      <c r="B23" s="30">
        <f t="shared" si="6"/>
        <v>0</v>
      </c>
      <c r="C23" s="30">
        <f t="shared" si="7"/>
        <v>0</v>
      </c>
      <c r="D23" s="30">
        <f t="shared" si="8"/>
        <v>0</v>
      </c>
      <c r="E23" s="30">
        <f t="shared" si="8"/>
        <v>0</v>
      </c>
      <c r="F23" s="30">
        <f t="shared" si="9"/>
        <v>0</v>
      </c>
      <c r="G23" s="30">
        <f t="shared" si="10"/>
        <v>0</v>
      </c>
      <c r="H23" s="30">
        <f t="shared" si="11"/>
        <v>0</v>
      </c>
      <c r="I23" s="30">
        <f t="shared" si="11"/>
        <v>0</v>
      </c>
      <c r="J23" s="30">
        <f t="shared" si="12"/>
        <v>12733</v>
      </c>
      <c r="K23" s="30">
        <f t="shared" si="13"/>
        <v>3983</v>
      </c>
      <c r="L23" s="30">
        <f t="shared" si="14"/>
        <v>4600</v>
      </c>
      <c r="M23" s="30">
        <f t="shared" si="14"/>
        <v>4150</v>
      </c>
      <c r="N23" s="30">
        <f t="shared" si="15"/>
        <v>928</v>
      </c>
      <c r="O23" s="30">
        <f t="shared" si="16"/>
        <v>264</v>
      </c>
      <c r="P23" s="30">
        <f t="shared" si="17"/>
        <v>400</v>
      </c>
      <c r="Q23" s="30">
        <f t="shared" si="18"/>
        <v>264</v>
      </c>
    </row>
    <row r="24" spans="1:17" x14ac:dyDescent="0.2">
      <c r="A24" s="28" t="s">
        <v>34</v>
      </c>
      <c r="B24" s="30">
        <f t="shared" si="6"/>
        <v>0</v>
      </c>
      <c r="C24" s="30">
        <f t="shared" si="7"/>
        <v>0</v>
      </c>
      <c r="D24" s="30">
        <f t="shared" si="8"/>
        <v>0</v>
      </c>
      <c r="E24" s="30">
        <f t="shared" si="8"/>
        <v>0</v>
      </c>
      <c r="F24" s="30">
        <f t="shared" si="9"/>
        <v>0</v>
      </c>
      <c r="G24" s="30">
        <f t="shared" si="10"/>
        <v>0</v>
      </c>
      <c r="H24" s="30">
        <f t="shared" si="11"/>
        <v>0</v>
      </c>
      <c r="I24" s="30">
        <f t="shared" si="11"/>
        <v>0</v>
      </c>
      <c r="J24" s="30">
        <f t="shared" si="12"/>
        <v>13033</v>
      </c>
      <c r="K24" s="30">
        <f t="shared" si="13"/>
        <v>4083</v>
      </c>
      <c r="L24" s="30">
        <f t="shared" si="14"/>
        <v>4700</v>
      </c>
      <c r="M24" s="30">
        <f t="shared" si="14"/>
        <v>4250</v>
      </c>
      <c r="N24" s="30">
        <f t="shared" si="15"/>
        <v>1856</v>
      </c>
      <c r="O24" s="30">
        <f t="shared" si="16"/>
        <v>464</v>
      </c>
      <c r="P24" s="30">
        <f t="shared" si="17"/>
        <v>800</v>
      </c>
      <c r="Q24" s="30">
        <f t="shared" si="18"/>
        <v>592</v>
      </c>
    </row>
    <row r="25" spans="1:17" x14ac:dyDescent="0.2">
      <c r="A25" s="28" t="s">
        <v>35</v>
      </c>
      <c r="B25" s="31">
        <f t="shared" si="6"/>
        <v>0</v>
      </c>
      <c r="C25" s="31">
        <f t="shared" si="7"/>
        <v>0</v>
      </c>
      <c r="D25" s="31">
        <f t="shared" si="8"/>
        <v>0</v>
      </c>
      <c r="E25" s="31">
        <f t="shared" si="8"/>
        <v>0</v>
      </c>
      <c r="F25" s="31">
        <f t="shared" si="9"/>
        <v>0</v>
      </c>
      <c r="G25" s="31">
        <f t="shared" si="10"/>
        <v>0</v>
      </c>
      <c r="H25" s="31">
        <f t="shared" si="11"/>
        <v>0</v>
      </c>
      <c r="I25" s="31">
        <f t="shared" si="11"/>
        <v>0</v>
      </c>
      <c r="J25" s="30">
        <f t="shared" si="12"/>
        <v>13333</v>
      </c>
      <c r="K25" s="30">
        <f t="shared" si="13"/>
        <v>4183</v>
      </c>
      <c r="L25" s="30">
        <f t="shared" si="14"/>
        <v>4800</v>
      </c>
      <c r="M25" s="30">
        <f t="shared" si="14"/>
        <v>4350</v>
      </c>
      <c r="N25" s="30">
        <f t="shared" si="15"/>
        <v>2784</v>
      </c>
      <c r="O25" s="30">
        <f t="shared" si="16"/>
        <v>664</v>
      </c>
      <c r="P25" s="30">
        <f t="shared" si="17"/>
        <v>1200</v>
      </c>
      <c r="Q25" s="30">
        <f t="shared" si="18"/>
        <v>920</v>
      </c>
    </row>
    <row r="26" spans="1:17" x14ac:dyDescent="0.2">
      <c r="A26" s="28" t="s">
        <v>36</v>
      </c>
      <c r="B26" s="31">
        <f t="shared" si="6"/>
        <v>0</v>
      </c>
      <c r="C26" s="31">
        <f t="shared" si="7"/>
        <v>0</v>
      </c>
      <c r="D26" s="31">
        <f t="shared" si="8"/>
        <v>0</v>
      </c>
      <c r="E26" s="31">
        <f t="shared" si="8"/>
        <v>0</v>
      </c>
      <c r="F26" s="31">
        <f t="shared" si="9"/>
        <v>0</v>
      </c>
      <c r="G26" s="31">
        <f t="shared" si="10"/>
        <v>0</v>
      </c>
      <c r="H26" s="31">
        <f t="shared" si="11"/>
        <v>0</v>
      </c>
      <c r="I26" s="31">
        <f t="shared" si="11"/>
        <v>0</v>
      </c>
      <c r="J26" s="30">
        <f t="shared" si="12"/>
        <v>13633</v>
      </c>
      <c r="K26" s="30">
        <f t="shared" si="13"/>
        <v>4283</v>
      </c>
      <c r="L26" s="30">
        <f t="shared" si="14"/>
        <v>4900</v>
      </c>
      <c r="M26" s="30">
        <f t="shared" si="14"/>
        <v>4450</v>
      </c>
      <c r="N26" s="30">
        <f t="shared" si="15"/>
        <v>3712</v>
      </c>
      <c r="O26" s="30">
        <f t="shared" si="16"/>
        <v>864</v>
      </c>
      <c r="P26" s="30">
        <f t="shared" si="17"/>
        <v>1600</v>
      </c>
      <c r="Q26" s="30">
        <f t="shared" si="18"/>
        <v>1248</v>
      </c>
    </row>
    <row r="27" spans="1:17" x14ac:dyDescent="0.2">
      <c r="A27" s="12" t="s">
        <v>15</v>
      </c>
      <c r="B27" s="32">
        <f t="shared" si="6"/>
        <v>0</v>
      </c>
      <c r="C27" s="32">
        <f t="shared" si="7"/>
        <v>0</v>
      </c>
      <c r="D27" s="32">
        <f t="shared" si="8"/>
        <v>0</v>
      </c>
      <c r="E27" s="32">
        <f t="shared" si="8"/>
        <v>0</v>
      </c>
      <c r="F27" s="32">
        <f t="shared" si="9"/>
        <v>0</v>
      </c>
      <c r="G27" s="32">
        <f t="shared" si="10"/>
        <v>0</v>
      </c>
      <c r="H27" s="32">
        <f t="shared" si="11"/>
        <v>0</v>
      </c>
      <c r="I27" s="32">
        <f t="shared" si="11"/>
        <v>0</v>
      </c>
      <c r="J27" s="32">
        <f t="shared" si="12"/>
        <v>13933</v>
      </c>
      <c r="K27" s="32">
        <f t="shared" si="13"/>
        <v>4383</v>
      </c>
      <c r="L27" s="32">
        <f t="shared" si="14"/>
        <v>5000</v>
      </c>
      <c r="M27" s="32">
        <f t="shared" si="14"/>
        <v>4550</v>
      </c>
      <c r="N27" s="32">
        <f t="shared" si="15"/>
        <v>4640</v>
      </c>
      <c r="O27" s="32">
        <f t="shared" si="16"/>
        <v>1064</v>
      </c>
      <c r="P27" s="32">
        <f t="shared" si="17"/>
        <v>2000</v>
      </c>
      <c r="Q27" s="32">
        <f t="shared" si="18"/>
        <v>1576</v>
      </c>
    </row>
    <row r="28" spans="1:17" x14ac:dyDescent="0.2">
      <c r="C28" s="16"/>
      <c r="D28" s="16"/>
      <c r="E28" s="16"/>
      <c r="G28" s="16"/>
      <c r="H28" s="16"/>
      <c r="I28" s="16"/>
      <c r="L28" s="16"/>
    </row>
    <row r="29" spans="1:17" x14ac:dyDescent="0.2">
      <c r="C29" s="16"/>
      <c r="D29" s="16"/>
      <c r="E29" s="16"/>
      <c r="L29" s="16"/>
    </row>
    <row r="30" spans="1:17" x14ac:dyDescent="0.2">
      <c r="C30" s="16"/>
      <c r="D30" s="16"/>
      <c r="E30" s="16"/>
      <c r="L30" s="16"/>
    </row>
    <row r="31" spans="1:17" x14ac:dyDescent="0.2">
      <c r="C31" s="16"/>
      <c r="D31" s="16"/>
      <c r="E31" s="16"/>
      <c r="L31" s="16"/>
    </row>
    <row r="32" spans="1:17" x14ac:dyDescent="0.2">
      <c r="C32" s="16"/>
      <c r="D32" s="16"/>
      <c r="E32" s="16"/>
      <c r="L32" s="16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</sheetData>
  <mergeCells count="8">
    <mergeCell ref="N1:Q1"/>
    <mergeCell ref="O2:Q2"/>
    <mergeCell ref="K2:M2"/>
    <mergeCell ref="J1:M1"/>
    <mergeCell ref="C2:D2"/>
    <mergeCell ref="G2:H2"/>
    <mergeCell ref="B1:D1"/>
    <mergeCell ref="F1:H1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9.5703125" bestFit="1" customWidth="1"/>
    <col min="9" max="9" width="9.5703125" customWidth="1"/>
    <col min="12" max="12" width="11" bestFit="1" customWidth="1"/>
    <col min="13" max="13" width="1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188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362</v>
      </c>
      <c r="C4" s="22"/>
      <c r="D4" s="22"/>
      <c r="E4" s="22"/>
      <c r="F4" s="22">
        <v>425</v>
      </c>
      <c r="G4" s="22"/>
      <c r="H4" s="22"/>
      <c r="I4" s="125"/>
      <c r="J4" s="22"/>
      <c r="K4" s="22"/>
      <c r="L4" s="22"/>
      <c r="M4" s="22"/>
      <c r="N4" s="22"/>
      <c r="O4" s="22"/>
      <c r="P4" s="22"/>
      <c r="Q4" s="22"/>
      <c r="R4" s="22">
        <v>206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363</v>
      </c>
      <c r="C5" s="22"/>
      <c r="D5" s="22"/>
      <c r="E5" s="22"/>
      <c r="F5" s="22">
        <v>426</v>
      </c>
      <c r="G5" s="22"/>
      <c r="H5" s="22"/>
      <c r="I5" s="125"/>
      <c r="J5" s="22"/>
      <c r="K5" s="22"/>
      <c r="L5" s="22"/>
      <c r="M5" s="22"/>
      <c r="N5" s="22"/>
      <c r="O5" s="22"/>
      <c r="P5" s="22"/>
      <c r="Q5" s="22"/>
      <c r="R5" s="22">
        <v>206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364</v>
      </c>
      <c r="C6" s="22"/>
      <c r="D6" s="22"/>
      <c r="E6" s="22"/>
      <c r="F6" s="22">
        <v>426</v>
      </c>
      <c r="G6" s="22"/>
      <c r="H6" s="22"/>
      <c r="I6" s="125"/>
      <c r="J6" s="22"/>
      <c r="K6" s="22"/>
      <c r="L6" s="22"/>
      <c r="M6" s="22"/>
      <c r="N6" s="22"/>
      <c r="O6" s="22"/>
      <c r="P6" s="22"/>
      <c r="Q6" s="22"/>
      <c r="R6" s="22">
        <v>206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363</v>
      </c>
      <c r="C7" s="22"/>
      <c r="D7" s="22"/>
      <c r="E7" s="22"/>
      <c r="F7" s="22">
        <v>425</v>
      </c>
      <c r="G7" s="22"/>
      <c r="H7" s="22"/>
      <c r="I7" s="125"/>
      <c r="J7" s="22"/>
      <c r="K7" s="22"/>
      <c r="L7" s="22"/>
      <c r="M7" s="22"/>
      <c r="N7" s="22"/>
      <c r="O7" s="22"/>
      <c r="P7" s="22"/>
      <c r="Q7" s="22"/>
      <c r="R7" s="22">
        <v>153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335</v>
      </c>
      <c r="C8" s="22"/>
      <c r="D8" s="22"/>
      <c r="E8" s="22"/>
      <c r="F8" s="22">
        <v>394</v>
      </c>
      <c r="G8" s="22"/>
      <c r="H8" s="22"/>
      <c r="I8" s="125"/>
      <c r="J8" s="22"/>
      <c r="K8" s="22"/>
      <c r="L8" s="22"/>
      <c r="M8" s="22"/>
      <c r="N8" s="22"/>
      <c r="O8" s="22"/>
      <c r="P8" s="22"/>
      <c r="Q8" s="22"/>
      <c r="R8" s="22">
        <v>153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262</v>
      </c>
      <c r="C9" s="22"/>
      <c r="D9" s="22"/>
      <c r="E9" s="22"/>
      <c r="F9" s="22">
        <v>306</v>
      </c>
      <c r="G9" s="22"/>
      <c r="H9" s="22"/>
      <c r="I9" s="125"/>
      <c r="J9" s="22">
        <v>7032</v>
      </c>
      <c r="K9" s="22"/>
      <c r="L9" s="22"/>
      <c r="M9" s="22"/>
      <c r="N9" s="22">
        <v>8341</v>
      </c>
      <c r="O9" s="22"/>
      <c r="P9" s="22"/>
      <c r="Q9" s="22"/>
      <c r="R9" s="22">
        <v>206</v>
      </c>
      <c r="S9" s="22"/>
      <c r="T9" s="22"/>
      <c r="U9" s="22"/>
      <c r="V9" s="22">
        <v>1000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262</v>
      </c>
      <c r="C10" s="22"/>
      <c r="D10" s="22"/>
      <c r="E10" s="22"/>
      <c r="F10" s="22">
        <v>277</v>
      </c>
      <c r="G10" s="22"/>
      <c r="H10" s="22"/>
      <c r="I10" s="125"/>
      <c r="J10" s="22">
        <v>1665</v>
      </c>
      <c r="K10" s="22"/>
      <c r="L10" s="22"/>
      <c r="M10" s="22"/>
      <c r="N10" s="22">
        <v>853</v>
      </c>
      <c r="O10" s="22"/>
      <c r="P10" s="22"/>
      <c r="Q10" s="22"/>
      <c r="R10" s="22">
        <v>240</v>
      </c>
      <c r="S10" s="22"/>
      <c r="T10" s="22"/>
      <c r="U10" s="22"/>
      <c r="V10" s="22">
        <v>57</v>
      </c>
      <c r="W10" s="22"/>
      <c r="X10" s="22"/>
      <c r="Y10" s="22"/>
      <c r="Z10" s="125"/>
      <c r="AA10" s="22"/>
      <c r="AB10" s="22"/>
      <c r="AC10" s="22"/>
    </row>
    <row r="11" spans="1:29" x14ac:dyDescent="0.2">
      <c r="A11" s="1" t="s">
        <v>10</v>
      </c>
      <c r="B11" s="22">
        <v>182</v>
      </c>
      <c r="C11" s="22"/>
      <c r="D11" s="22"/>
      <c r="E11" s="22"/>
      <c r="F11" s="22">
        <v>212</v>
      </c>
      <c r="G11" s="22"/>
      <c r="H11" s="22"/>
      <c r="I11" s="125"/>
      <c r="J11" s="22">
        <v>1835</v>
      </c>
      <c r="K11" s="22"/>
      <c r="L11" s="22"/>
      <c r="M11" s="22"/>
      <c r="N11" s="22">
        <v>786</v>
      </c>
      <c r="O11" s="22"/>
      <c r="P11" s="22"/>
      <c r="Q11" s="22"/>
      <c r="R11" s="22">
        <v>35</v>
      </c>
      <c r="S11" s="22"/>
      <c r="T11" s="22"/>
      <c r="U11" s="22"/>
      <c r="V11" s="22">
        <v>183</v>
      </c>
      <c r="W11" s="22"/>
      <c r="X11" s="22"/>
      <c r="Y11" s="22"/>
      <c r="Z11" s="125"/>
      <c r="AA11" s="22"/>
      <c r="AB11" s="22"/>
      <c r="AC11" s="22"/>
    </row>
    <row r="12" spans="1:29" x14ac:dyDescent="0.2">
      <c r="A12" s="1" t="s">
        <v>11</v>
      </c>
      <c r="B12" s="22">
        <v>280</v>
      </c>
      <c r="C12" s="22"/>
      <c r="D12" s="22"/>
      <c r="E12" s="22"/>
      <c r="F12" s="22">
        <v>332</v>
      </c>
      <c r="G12" s="22"/>
      <c r="H12" s="22"/>
      <c r="I12" s="125"/>
      <c r="J12" s="22">
        <v>1689</v>
      </c>
      <c r="K12" s="22"/>
      <c r="L12" s="22"/>
      <c r="M12" s="22"/>
      <c r="N12" s="22">
        <v>665</v>
      </c>
      <c r="O12" s="22"/>
      <c r="P12" s="22"/>
      <c r="Q12" s="22"/>
      <c r="R12" s="22">
        <v>35</v>
      </c>
      <c r="S12" s="22"/>
      <c r="T12" s="22"/>
      <c r="U12" s="22"/>
      <c r="V12" s="22">
        <v>183</v>
      </c>
      <c r="W12" s="22"/>
      <c r="X12" s="22"/>
      <c r="Y12" s="22"/>
      <c r="Z12" s="125"/>
      <c r="AA12" s="22"/>
      <c r="AB12" s="22"/>
      <c r="AC12" s="22"/>
    </row>
    <row r="13" spans="1:29" x14ac:dyDescent="0.2">
      <c r="A13" s="1" t="s">
        <v>12</v>
      </c>
      <c r="B13" s="22">
        <v>363</v>
      </c>
      <c r="C13" s="22"/>
      <c r="D13" s="22"/>
      <c r="E13" s="22"/>
      <c r="F13" s="22">
        <v>426</v>
      </c>
      <c r="G13" s="22"/>
      <c r="H13" s="22"/>
      <c r="I13" s="125"/>
      <c r="J13" s="22">
        <v>2249</v>
      </c>
      <c r="K13" s="22"/>
      <c r="L13" s="22"/>
      <c r="M13" s="22"/>
      <c r="N13" s="22">
        <v>1095</v>
      </c>
      <c r="O13" s="22"/>
      <c r="P13" s="22"/>
      <c r="Q13" s="22"/>
      <c r="R13" s="22">
        <v>35</v>
      </c>
      <c r="S13" s="22"/>
      <c r="T13" s="22"/>
      <c r="U13" s="22"/>
      <c r="V13" s="22">
        <v>182</v>
      </c>
      <c r="W13" s="22"/>
      <c r="X13" s="22"/>
      <c r="Y13" s="22"/>
      <c r="Z13" s="125"/>
      <c r="AA13" s="22"/>
      <c r="AB13" s="22"/>
      <c r="AC13" s="22"/>
    </row>
    <row r="14" spans="1:29" x14ac:dyDescent="0.2">
      <c r="A14" s="1" t="s">
        <v>13</v>
      </c>
      <c r="B14" s="22">
        <v>363</v>
      </c>
      <c r="C14" s="22"/>
      <c r="D14" s="22"/>
      <c r="E14" s="22"/>
      <c r="F14" s="22">
        <v>426</v>
      </c>
      <c r="G14" s="22"/>
      <c r="H14" s="22"/>
      <c r="I14" s="125"/>
      <c r="J14" s="22">
        <v>2528</v>
      </c>
      <c r="K14" s="22"/>
      <c r="L14" s="22"/>
      <c r="M14" s="22"/>
      <c r="N14" s="22">
        <v>1170</v>
      </c>
      <c r="O14" s="22"/>
      <c r="P14" s="22"/>
      <c r="Q14" s="22"/>
      <c r="R14" s="22">
        <v>35</v>
      </c>
      <c r="S14" s="22"/>
      <c r="T14" s="22"/>
      <c r="U14" s="22"/>
      <c r="V14" s="22">
        <v>183</v>
      </c>
      <c r="W14" s="22"/>
      <c r="X14" s="22"/>
      <c r="Y14" s="22"/>
      <c r="Z14" s="125"/>
      <c r="AA14" s="22"/>
      <c r="AB14" s="22"/>
      <c r="AC14" s="22"/>
    </row>
    <row r="15" spans="1:29" x14ac:dyDescent="0.2">
      <c r="A15" s="1" t="s">
        <v>14</v>
      </c>
      <c r="B15" s="22">
        <v>362</v>
      </c>
      <c r="C15" s="22"/>
      <c r="D15" s="22"/>
      <c r="E15" s="22"/>
      <c r="F15" s="22">
        <v>425</v>
      </c>
      <c r="G15" s="22"/>
      <c r="H15" s="22"/>
      <c r="I15" s="125"/>
      <c r="J15" s="22">
        <v>2530</v>
      </c>
      <c r="K15" s="22"/>
      <c r="L15" s="22"/>
      <c r="M15" s="22"/>
      <c r="N15" s="22">
        <v>1170</v>
      </c>
      <c r="O15" s="22"/>
      <c r="P15" s="22"/>
      <c r="Q15" s="22"/>
      <c r="R15" s="22">
        <v>35</v>
      </c>
      <c r="S15" s="22"/>
      <c r="T15" s="22"/>
      <c r="U15" s="22"/>
      <c r="V15" s="22">
        <v>183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3861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4500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19528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14080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1545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1971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725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851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0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412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1089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1277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618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1452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1702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771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1787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2096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924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2049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2402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7032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8341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1130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1000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2311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2679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8697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9194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1370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1057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2493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2891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10532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9980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1405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1240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2773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3223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12221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10645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1440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1423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8" t="s">
        <v>35</v>
      </c>
      <c r="B25" s="30">
        <f t="shared" si="2"/>
        <v>3136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3649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14470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11740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1475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1605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8" t="s">
        <v>36</v>
      </c>
      <c r="B26" s="30">
        <f t="shared" si="2"/>
        <v>3499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4075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16998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12910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1510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1788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3861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4500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19528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14080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1545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1971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B1:D1"/>
    <mergeCell ref="F1:H1"/>
    <mergeCell ref="O2:Q2"/>
    <mergeCell ref="S2:U2"/>
    <mergeCell ref="W2:Y2"/>
    <mergeCell ref="AA2:AC2"/>
    <mergeCell ref="C2:E2"/>
    <mergeCell ref="K2:M2"/>
    <mergeCell ref="G2:I2"/>
  </mergeCells>
  <phoneticPr fontId="0" type="noConversion"/>
  <pageMargins left="0" right="0" top="0" bottom="0" header="0" footer="0"/>
  <pageSetup paperSize="9" scale="68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10.5703125" hidden="1" customWidth="1"/>
    <col min="6" max="6" width="0" hidden="1" customWidth="1"/>
    <col min="7" max="7" width="11" hidden="1" customWidth="1"/>
    <col min="8" max="9" width="10.85546875" hidden="1" customWidth="1"/>
    <col min="12" max="12" width="10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192</v>
      </c>
      <c r="P1" s="119"/>
      <c r="R1" s="19"/>
      <c r="S1" s="118" t="s">
        <v>193</v>
      </c>
      <c r="T1" s="119"/>
      <c r="V1" s="19"/>
      <c r="W1" s="118" t="s">
        <v>188</v>
      </c>
      <c r="X1" s="119"/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17" t="s">
        <v>27</v>
      </c>
      <c r="L3" s="15" t="s">
        <v>26</v>
      </c>
      <c r="M3" s="121" t="s">
        <v>105</v>
      </c>
      <c r="N3" s="7"/>
      <c r="O3" s="17" t="s">
        <v>27</v>
      </c>
      <c r="P3" s="15" t="s">
        <v>26</v>
      </c>
      <c r="Q3" s="121" t="s">
        <v>105</v>
      </c>
      <c r="R3" s="7"/>
      <c r="S3" s="17" t="s">
        <v>27</v>
      </c>
      <c r="T3" s="15" t="s">
        <v>26</v>
      </c>
      <c r="U3" s="121" t="s">
        <v>105</v>
      </c>
      <c r="V3" s="7"/>
      <c r="W3" s="17" t="s">
        <v>27</v>
      </c>
      <c r="X3" s="15" t="s">
        <v>26</v>
      </c>
      <c r="Y3" s="121" t="s">
        <v>105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>
        <v>887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>
        <v>887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887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887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v>887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887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7" x14ac:dyDescent="0.2">
      <c r="A10" s="82" t="s">
        <v>19</v>
      </c>
      <c r="B10" s="104">
        <f t="shared" si="0"/>
        <v>0</v>
      </c>
      <c r="C10" s="84"/>
      <c r="D10" s="84"/>
      <c r="E10" s="84"/>
      <c r="F10" s="104">
        <f t="shared" si="1"/>
        <v>0</v>
      </c>
      <c r="G10" s="84"/>
      <c r="H10" s="84"/>
      <c r="I10" s="84"/>
      <c r="J10" s="22">
        <v>887</v>
      </c>
      <c r="K10" s="22"/>
      <c r="L10" s="22"/>
      <c r="M10" s="22"/>
      <c r="N10" s="22">
        <v>528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887</v>
      </c>
      <c r="K11" s="22"/>
      <c r="L11" s="22"/>
      <c r="M11" s="22"/>
      <c r="N11" s="22">
        <v>528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887</v>
      </c>
      <c r="K12" s="22"/>
      <c r="L12" s="22"/>
      <c r="M12" s="22"/>
      <c r="N12" s="22">
        <v>528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887</v>
      </c>
      <c r="K13" s="22"/>
      <c r="L13" s="22"/>
      <c r="M13" s="22"/>
      <c r="N13" s="22">
        <v>528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v>887</v>
      </c>
      <c r="K14" s="22"/>
      <c r="L14" s="22"/>
      <c r="M14" s="22"/>
      <c r="N14" s="22">
        <v>528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v>890</v>
      </c>
      <c r="K15" s="22"/>
      <c r="L15" s="22"/>
      <c r="M15" s="21"/>
      <c r="N15" s="22">
        <v>532</v>
      </c>
      <c r="O15" s="22"/>
      <c r="P15" s="22"/>
      <c r="Q15" s="21"/>
      <c r="R15" s="22"/>
      <c r="S15" s="22"/>
      <c r="T15" s="22"/>
      <c r="U15" s="21"/>
      <c r="V15" s="22"/>
      <c r="W15" s="22"/>
      <c r="X15" s="22"/>
      <c r="Y15" s="21"/>
    </row>
    <row r="16" spans="1:27" x14ac:dyDescent="0.2">
      <c r="A16" s="1" t="s">
        <v>6</v>
      </c>
      <c r="B16" s="22">
        <f t="shared" ref="B16:M16" si="2">SUM(B4:B15)</f>
        <v>0</v>
      </c>
      <c r="C16" s="22">
        <f t="shared" si="2"/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10647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ref="N16:Y16" si="3">SUM(N4:N15)</f>
        <v>3172</v>
      </c>
      <c r="O16" s="22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0</v>
      </c>
      <c r="S16" s="22">
        <f t="shared" si="3"/>
        <v>0</v>
      </c>
      <c r="T16" s="22">
        <f t="shared" si="3"/>
        <v>0</v>
      </c>
      <c r="U16" s="22">
        <f t="shared" si="3"/>
        <v>0</v>
      </c>
      <c r="V16" s="22">
        <f t="shared" si="3"/>
        <v>0</v>
      </c>
      <c r="W16" s="22">
        <f t="shared" si="3"/>
        <v>0</v>
      </c>
      <c r="X16" s="22">
        <f t="shared" si="3"/>
        <v>0</v>
      </c>
      <c r="Y16" s="22">
        <f t="shared" si="3"/>
        <v>0</v>
      </c>
    </row>
    <row r="17" spans="1:25" x14ac:dyDescent="0.2">
      <c r="A17" s="28" t="s">
        <v>28</v>
      </c>
      <c r="B17" s="30">
        <f t="shared" ref="B17:L17" si="4">B4+B5</f>
        <v>0</v>
      </c>
      <c r="C17" s="30">
        <f t="shared" si="4"/>
        <v>0</v>
      </c>
      <c r="D17" s="30">
        <f t="shared" si="4"/>
        <v>0</v>
      </c>
      <c r="E17" s="30"/>
      <c r="F17" s="30">
        <f t="shared" si="4"/>
        <v>0</v>
      </c>
      <c r="G17" s="30">
        <f t="shared" si="4"/>
        <v>0</v>
      </c>
      <c r="H17" s="30">
        <f t="shared" si="4"/>
        <v>0</v>
      </c>
      <c r="I17" s="30"/>
      <c r="J17" s="30">
        <f t="shared" si="4"/>
        <v>1774</v>
      </c>
      <c r="K17" s="30">
        <f t="shared" si="4"/>
        <v>0</v>
      </c>
      <c r="L17" s="30">
        <f t="shared" si="4"/>
        <v>0</v>
      </c>
      <c r="M17" s="30">
        <f t="shared" ref="M17:Y17" si="5">M4+M5</f>
        <v>0</v>
      </c>
      <c r="N17" s="30">
        <f t="shared" si="5"/>
        <v>0</v>
      </c>
      <c r="O17" s="30">
        <f t="shared" si="5"/>
        <v>0</v>
      </c>
      <c r="P17" s="30">
        <f t="shared" si="5"/>
        <v>0</v>
      </c>
      <c r="Q17" s="30">
        <f t="shared" si="5"/>
        <v>0</v>
      </c>
      <c r="R17" s="30">
        <f t="shared" si="5"/>
        <v>0</v>
      </c>
      <c r="S17" s="30">
        <f t="shared" si="5"/>
        <v>0</v>
      </c>
      <c r="T17" s="30">
        <f t="shared" si="5"/>
        <v>0</v>
      </c>
      <c r="U17" s="30">
        <f t="shared" si="5"/>
        <v>0</v>
      </c>
      <c r="V17" s="30">
        <f t="shared" si="5"/>
        <v>0</v>
      </c>
      <c r="W17" s="30">
        <f t="shared" si="5"/>
        <v>0</v>
      </c>
      <c r="X17" s="30">
        <f t="shared" si="5"/>
        <v>0</v>
      </c>
      <c r="Y17" s="30">
        <f t="shared" si="5"/>
        <v>0</v>
      </c>
    </row>
    <row r="18" spans="1:25" x14ac:dyDescent="0.2">
      <c r="A18" s="28" t="s">
        <v>37</v>
      </c>
      <c r="B18" s="30">
        <f t="shared" ref="B18:B27" si="6">B17+B6</f>
        <v>0</v>
      </c>
      <c r="C18" s="30">
        <f t="shared" ref="C18:C27" si="7">C17+C6</f>
        <v>0</v>
      </c>
      <c r="D18" s="30">
        <f t="shared" ref="D18:D27" si="8">D17+D6</f>
        <v>0</v>
      </c>
      <c r="E18" s="30"/>
      <c r="F18" s="30">
        <f t="shared" ref="F18:F27" si="9">F17+F6</f>
        <v>0</v>
      </c>
      <c r="G18" s="30">
        <f t="shared" ref="G18:G27" si="10">G17+G6</f>
        <v>0</v>
      </c>
      <c r="H18" s="30">
        <f t="shared" ref="H18:H27" si="11">H17+H6</f>
        <v>0</v>
      </c>
      <c r="I18" s="30"/>
      <c r="J18" s="30">
        <f t="shared" ref="J18:J27" si="12">J17+J6</f>
        <v>2661</v>
      </c>
      <c r="K18" s="30">
        <f t="shared" ref="K18:K27" si="13">K17+K6</f>
        <v>0</v>
      </c>
      <c r="L18" s="30">
        <f t="shared" ref="L18:M27" si="14">L17+L6</f>
        <v>0</v>
      </c>
      <c r="M18" s="30">
        <f t="shared" si="14"/>
        <v>0</v>
      </c>
      <c r="N18" s="30">
        <f t="shared" ref="N18:N27" si="15">N17+N6</f>
        <v>0</v>
      </c>
      <c r="O18" s="30">
        <f t="shared" ref="O18:O27" si="16">O17+O6</f>
        <v>0</v>
      </c>
      <c r="P18" s="30">
        <f t="shared" ref="P18:P27" si="17">P17+P6</f>
        <v>0</v>
      </c>
      <c r="Q18" s="30">
        <f t="shared" ref="Q18:Q27" si="18">Q17+Q6</f>
        <v>0</v>
      </c>
      <c r="R18" s="30">
        <f t="shared" ref="R18:R27" si="19">R17+R6</f>
        <v>0</v>
      </c>
      <c r="S18" s="30">
        <f t="shared" ref="S18:S27" si="20">S17+S6</f>
        <v>0</v>
      </c>
      <c r="T18" s="30">
        <f t="shared" ref="T18:T27" si="21">T17+T6</f>
        <v>0</v>
      </c>
      <c r="U18" s="30">
        <f t="shared" ref="U18:U27" si="22">U17+U6</f>
        <v>0</v>
      </c>
      <c r="V18" s="30">
        <f t="shared" ref="V18:V27" si="23">V17+V6</f>
        <v>0</v>
      </c>
      <c r="W18" s="30">
        <f t="shared" ref="W18:W27" si="24">W17+W6</f>
        <v>0</v>
      </c>
      <c r="X18" s="30">
        <f t="shared" ref="X18:X27" si="25">X17+X6</f>
        <v>0</v>
      </c>
      <c r="Y18" s="30">
        <f t="shared" ref="Y18:Y27" si="26">Y17+Y6</f>
        <v>0</v>
      </c>
    </row>
    <row r="19" spans="1:25" x14ac:dyDescent="0.2">
      <c r="A19" s="28" t="s">
        <v>29</v>
      </c>
      <c r="B19" s="30">
        <f t="shared" si="6"/>
        <v>0</v>
      </c>
      <c r="C19" s="30">
        <f t="shared" si="7"/>
        <v>0</v>
      </c>
      <c r="D19" s="30">
        <f t="shared" si="8"/>
        <v>0</v>
      </c>
      <c r="E19" s="30"/>
      <c r="F19" s="30">
        <f t="shared" si="9"/>
        <v>0</v>
      </c>
      <c r="G19" s="30">
        <f t="shared" si="10"/>
        <v>0</v>
      </c>
      <c r="H19" s="30">
        <f t="shared" si="11"/>
        <v>0</v>
      </c>
      <c r="I19" s="30"/>
      <c r="J19" s="30">
        <f t="shared" si="12"/>
        <v>3548</v>
      </c>
      <c r="K19" s="30">
        <f t="shared" si="13"/>
        <v>0</v>
      </c>
      <c r="L19" s="30">
        <f t="shared" si="14"/>
        <v>0</v>
      </c>
      <c r="M19" s="30">
        <f t="shared" si="14"/>
        <v>0</v>
      </c>
      <c r="N19" s="30">
        <f t="shared" si="15"/>
        <v>0</v>
      </c>
      <c r="O19" s="30">
        <f t="shared" si="16"/>
        <v>0</v>
      </c>
      <c r="P19" s="30">
        <f t="shared" si="17"/>
        <v>0</v>
      </c>
      <c r="Q19" s="30">
        <f t="shared" si="18"/>
        <v>0</v>
      </c>
      <c r="R19" s="30">
        <f t="shared" si="19"/>
        <v>0</v>
      </c>
      <c r="S19" s="30">
        <f t="shared" si="20"/>
        <v>0</v>
      </c>
      <c r="T19" s="30">
        <f t="shared" si="21"/>
        <v>0</v>
      </c>
      <c r="U19" s="30">
        <f t="shared" si="22"/>
        <v>0</v>
      </c>
      <c r="V19" s="30">
        <f t="shared" si="23"/>
        <v>0</v>
      </c>
      <c r="W19" s="30">
        <f t="shared" si="24"/>
        <v>0</v>
      </c>
      <c r="X19" s="30">
        <f t="shared" si="25"/>
        <v>0</v>
      </c>
      <c r="Y19" s="30">
        <f t="shared" si="26"/>
        <v>0</v>
      </c>
    </row>
    <row r="20" spans="1:25" x14ac:dyDescent="0.2">
      <c r="A20" s="28" t="s">
        <v>30</v>
      </c>
      <c r="B20" s="30">
        <f t="shared" si="6"/>
        <v>0</v>
      </c>
      <c r="C20" s="30">
        <f t="shared" si="7"/>
        <v>0</v>
      </c>
      <c r="D20" s="30">
        <f t="shared" si="8"/>
        <v>0</v>
      </c>
      <c r="E20" s="30"/>
      <c r="F20" s="30">
        <f t="shared" si="9"/>
        <v>0</v>
      </c>
      <c r="G20" s="30">
        <f t="shared" si="10"/>
        <v>0</v>
      </c>
      <c r="H20" s="30">
        <f t="shared" si="11"/>
        <v>0</v>
      </c>
      <c r="I20" s="30"/>
      <c r="J20" s="30">
        <f t="shared" si="12"/>
        <v>4435</v>
      </c>
      <c r="K20" s="30">
        <f t="shared" si="13"/>
        <v>0</v>
      </c>
      <c r="L20" s="30">
        <f t="shared" si="14"/>
        <v>0</v>
      </c>
      <c r="M20" s="30">
        <f t="shared" si="14"/>
        <v>0</v>
      </c>
      <c r="N20" s="30">
        <f t="shared" si="15"/>
        <v>0</v>
      </c>
      <c r="O20" s="30">
        <f t="shared" si="16"/>
        <v>0</v>
      </c>
      <c r="P20" s="30">
        <f t="shared" si="17"/>
        <v>0</v>
      </c>
      <c r="Q20" s="30">
        <f t="shared" si="18"/>
        <v>0</v>
      </c>
      <c r="R20" s="30">
        <f t="shared" si="19"/>
        <v>0</v>
      </c>
      <c r="S20" s="30">
        <f t="shared" si="20"/>
        <v>0</v>
      </c>
      <c r="T20" s="30">
        <f t="shared" si="21"/>
        <v>0</v>
      </c>
      <c r="U20" s="30">
        <f t="shared" si="22"/>
        <v>0</v>
      </c>
      <c r="V20" s="30">
        <f t="shared" si="23"/>
        <v>0</v>
      </c>
      <c r="W20" s="30">
        <f t="shared" si="24"/>
        <v>0</v>
      </c>
      <c r="X20" s="30">
        <f t="shared" si="25"/>
        <v>0</v>
      </c>
      <c r="Y20" s="30">
        <f t="shared" si="26"/>
        <v>0</v>
      </c>
    </row>
    <row r="21" spans="1:25" x14ac:dyDescent="0.2">
      <c r="A21" s="28" t="s">
        <v>31</v>
      </c>
      <c r="B21" s="30">
        <f t="shared" si="6"/>
        <v>0</v>
      </c>
      <c r="C21" s="30">
        <f t="shared" si="7"/>
        <v>0</v>
      </c>
      <c r="D21" s="30">
        <f t="shared" si="8"/>
        <v>0</v>
      </c>
      <c r="E21" s="30"/>
      <c r="F21" s="30">
        <f t="shared" si="9"/>
        <v>0</v>
      </c>
      <c r="G21" s="30">
        <f t="shared" si="10"/>
        <v>0</v>
      </c>
      <c r="H21" s="30">
        <f t="shared" si="11"/>
        <v>0</v>
      </c>
      <c r="I21" s="30"/>
      <c r="J21" s="30">
        <f t="shared" si="12"/>
        <v>5322</v>
      </c>
      <c r="K21" s="30">
        <f t="shared" si="13"/>
        <v>0</v>
      </c>
      <c r="L21" s="30">
        <f t="shared" si="14"/>
        <v>0</v>
      </c>
      <c r="M21" s="30">
        <f t="shared" si="14"/>
        <v>0</v>
      </c>
      <c r="N21" s="30">
        <f t="shared" si="15"/>
        <v>0</v>
      </c>
      <c r="O21" s="30">
        <f t="shared" si="16"/>
        <v>0</v>
      </c>
      <c r="P21" s="30">
        <f t="shared" si="17"/>
        <v>0</v>
      </c>
      <c r="Q21" s="30">
        <f t="shared" si="18"/>
        <v>0</v>
      </c>
      <c r="R21" s="30">
        <f t="shared" si="19"/>
        <v>0</v>
      </c>
      <c r="S21" s="30">
        <f t="shared" si="20"/>
        <v>0</v>
      </c>
      <c r="T21" s="30">
        <f t="shared" si="21"/>
        <v>0</v>
      </c>
      <c r="U21" s="30">
        <f t="shared" si="22"/>
        <v>0</v>
      </c>
      <c r="V21" s="30">
        <f t="shared" si="23"/>
        <v>0</v>
      </c>
      <c r="W21" s="30">
        <f t="shared" si="24"/>
        <v>0</v>
      </c>
      <c r="X21" s="30">
        <f t="shared" si="25"/>
        <v>0</v>
      </c>
      <c r="Y21" s="30">
        <f t="shared" si="26"/>
        <v>0</v>
      </c>
    </row>
    <row r="22" spans="1:25" x14ac:dyDescent="0.2">
      <c r="A22" s="28" t="s">
        <v>32</v>
      </c>
      <c r="B22" s="30">
        <f t="shared" si="6"/>
        <v>0</v>
      </c>
      <c r="C22" s="30">
        <f t="shared" si="7"/>
        <v>0</v>
      </c>
      <c r="D22" s="30">
        <f t="shared" si="8"/>
        <v>0</v>
      </c>
      <c r="E22" s="30"/>
      <c r="F22" s="30">
        <f t="shared" si="9"/>
        <v>0</v>
      </c>
      <c r="G22" s="30">
        <f t="shared" si="10"/>
        <v>0</v>
      </c>
      <c r="H22" s="30">
        <f t="shared" si="11"/>
        <v>0</v>
      </c>
      <c r="I22" s="30"/>
      <c r="J22" s="30">
        <f t="shared" si="12"/>
        <v>6209</v>
      </c>
      <c r="K22" s="30">
        <f t="shared" si="13"/>
        <v>0</v>
      </c>
      <c r="L22" s="30">
        <f t="shared" si="14"/>
        <v>0</v>
      </c>
      <c r="M22" s="30">
        <f t="shared" si="14"/>
        <v>0</v>
      </c>
      <c r="N22" s="30">
        <f t="shared" si="15"/>
        <v>528</v>
      </c>
      <c r="O22" s="30">
        <f t="shared" si="16"/>
        <v>0</v>
      </c>
      <c r="P22" s="30">
        <f t="shared" si="17"/>
        <v>0</v>
      </c>
      <c r="Q22" s="30">
        <f t="shared" si="18"/>
        <v>0</v>
      </c>
      <c r="R22" s="30">
        <f t="shared" si="19"/>
        <v>0</v>
      </c>
      <c r="S22" s="30">
        <f t="shared" si="20"/>
        <v>0</v>
      </c>
      <c r="T22" s="30">
        <f t="shared" si="21"/>
        <v>0</v>
      </c>
      <c r="U22" s="30">
        <f t="shared" si="22"/>
        <v>0</v>
      </c>
      <c r="V22" s="30">
        <f t="shared" si="23"/>
        <v>0</v>
      </c>
      <c r="W22" s="30">
        <f t="shared" si="24"/>
        <v>0</v>
      </c>
      <c r="X22" s="30">
        <f t="shared" si="25"/>
        <v>0</v>
      </c>
      <c r="Y22" s="30">
        <f t="shared" si="26"/>
        <v>0</v>
      </c>
    </row>
    <row r="23" spans="1:25" x14ac:dyDescent="0.2">
      <c r="A23" s="28" t="s">
        <v>33</v>
      </c>
      <c r="B23" s="30">
        <f t="shared" si="6"/>
        <v>0</v>
      </c>
      <c r="C23" s="30">
        <f t="shared" si="7"/>
        <v>0</v>
      </c>
      <c r="D23" s="30">
        <f t="shared" si="8"/>
        <v>0</v>
      </c>
      <c r="E23" s="30"/>
      <c r="F23" s="30">
        <f t="shared" si="9"/>
        <v>0</v>
      </c>
      <c r="G23" s="30">
        <f t="shared" si="10"/>
        <v>0</v>
      </c>
      <c r="H23" s="30">
        <f t="shared" si="11"/>
        <v>0</v>
      </c>
      <c r="I23" s="30"/>
      <c r="J23" s="30">
        <f t="shared" si="12"/>
        <v>7096</v>
      </c>
      <c r="K23" s="30">
        <f t="shared" si="13"/>
        <v>0</v>
      </c>
      <c r="L23" s="30">
        <f t="shared" si="14"/>
        <v>0</v>
      </c>
      <c r="M23" s="30">
        <f t="shared" si="14"/>
        <v>0</v>
      </c>
      <c r="N23" s="30">
        <f t="shared" si="15"/>
        <v>1056</v>
      </c>
      <c r="O23" s="30">
        <f t="shared" si="16"/>
        <v>0</v>
      </c>
      <c r="P23" s="30">
        <f t="shared" si="17"/>
        <v>0</v>
      </c>
      <c r="Q23" s="30">
        <f t="shared" si="18"/>
        <v>0</v>
      </c>
      <c r="R23" s="30">
        <f t="shared" si="19"/>
        <v>0</v>
      </c>
      <c r="S23" s="30">
        <f t="shared" si="20"/>
        <v>0</v>
      </c>
      <c r="T23" s="30">
        <f t="shared" si="21"/>
        <v>0</v>
      </c>
      <c r="U23" s="30">
        <f t="shared" si="22"/>
        <v>0</v>
      </c>
      <c r="V23" s="30">
        <f t="shared" si="23"/>
        <v>0</v>
      </c>
      <c r="W23" s="30">
        <f t="shared" si="24"/>
        <v>0</v>
      </c>
      <c r="X23" s="30">
        <f t="shared" si="25"/>
        <v>0</v>
      </c>
      <c r="Y23" s="30">
        <f t="shared" si="26"/>
        <v>0</v>
      </c>
    </row>
    <row r="24" spans="1:25" x14ac:dyDescent="0.2">
      <c r="A24" s="28" t="s">
        <v>34</v>
      </c>
      <c r="B24" s="30">
        <f t="shared" si="6"/>
        <v>0</v>
      </c>
      <c r="C24" s="30">
        <f t="shared" si="7"/>
        <v>0</v>
      </c>
      <c r="D24" s="30">
        <f t="shared" si="8"/>
        <v>0</v>
      </c>
      <c r="E24" s="30"/>
      <c r="F24" s="30">
        <f t="shared" si="9"/>
        <v>0</v>
      </c>
      <c r="G24" s="30">
        <f t="shared" si="10"/>
        <v>0</v>
      </c>
      <c r="H24" s="30">
        <f t="shared" si="11"/>
        <v>0</v>
      </c>
      <c r="I24" s="30"/>
      <c r="J24" s="30">
        <f t="shared" si="12"/>
        <v>7983</v>
      </c>
      <c r="K24" s="30">
        <f t="shared" si="13"/>
        <v>0</v>
      </c>
      <c r="L24" s="30">
        <f t="shared" si="14"/>
        <v>0</v>
      </c>
      <c r="M24" s="30">
        <f t="shared" si="14"/>
        <v>0</v>
      </c>
      <c r="N24" s="30">
        <f t="shared" si="15"/>
        <v>1584</v>
      </c>
      <c r="O24" s="30">
        <f t="shared" si="16"/>
        <v>0</v>
      </c>
      <c r="P24" s="30">
        <f t="shared" si="17"/>
        <v>0</v>
      </c>
      <c r="Q24" s="30">
        <f t="shared" si="18"/>
        <v>0</v>
      </c>
      <c r="R24" s="30">
        <f t="shared" si="19"/>
        <v>0</v>
      </c>
      <c r="S24" s="30">
        <f t="shared" si="20"/>
        <v>0</v>
      </c>
      <c r="T24" s="30">
        <f t="shared" si="21"/>
        <v>0</v>
      </c>
      <c r="U24" s="30">
        <f t="shared" si="22"/>
        <v>0</v>
      </c>
      <c r="V24" s="30">
        <f t="shared" si="23"/>
        <v>0</v>
      </c>
      <c r="W24" s="30">
        <f t="shared" si="24"/>
        <v>0</v>
      </c>
      <c r="X24" s="30">
        <f t="shared" si="25"/>
        <v>0</v>
      </c>
      <c r="Y24" s="30">
        <f t="shared" si="26"/>
        <v>0</v>
      </c>
    </row>
    <row r="25" spans="1:25" x14ac:dyDescent="0.2">
      <c r="A25" s="29" t="s">
        <v>35</v>
      </c>
      <c r="B25" s="31">
        <f t="shared" si="6"/>
        <v>0</v>
      </c>
      <c r="C25" s="31">
        <f t="shared" si="7"/>
        <v>0</v>
      </c>
      <c r="D25" s="31">
        <f t="shared" si="8"/>
        <v>0</v>
      </c>
      <c r="E25" s="31"/>
      <c r="F25" s="31">
        <f t="shared" si="9"/>
        <v>0</v>
      </c>
      <c r="G25" s="31">
        <f t="shared" si="10"/>
        <v>0</v>
      </c>
      <c r="H25" s="31">
        <f t="shared" si="11"/>
        <v>0</v>
      </c>
      <c r="I25" s="31"/>
      <c r="J25" s="31">
        <f t="shared" si="12"/>
        <v>8870</v>
      </c>
      <c r="K25" s="31">
        <f t="shared" si="13"/>
        <v>0</v>
      </c>
      <c r="L25" s="31">
        <f t="shared" si="14"/>
        <v>0</v>
      </c>
      <c r="M25" s="31">
        <f t="shared" si="14"/>
        <v>0</v>
      </c>
      <c r="N25" s="31">
        <f t="shared" si="15"/>
        <v>2112</v>
      </c>
      <c r="O25" s="31">
        <f t="shared" si="16"/>
        <v>0</v>
      </c>
      <c r="P25" s="31">
        <f t="shared" si="17"/>
        <v>0</v>
      </c>
      <c r="Q25" s="31">
        <f t="shared" si="18"/>
        <v>0</v>
      </c>
      <c r="R25" s="31">
        <f t="shared" si="19"/>
        <v>0</v>
      </c>
      <c r="S25" s="31">
        <f t="shared" si="20"/>
        <v>0</v>
      </c>
      <c r="T25" s="31">
        <f t="shared" si="21"/>
        <v>0</v>
      </c>
      <c r="U25" s="31">
        <f t="shared" si="22"/>
        <v>0</v>
      </c>
      <c r="V25" s="31">
        <f t="shared" si="23"/>
        <v>0</v>
      </c>
      <c r="W25" s="31">
        <f t="shared" si="24"/>
        <v>0</v>
      </c>
      <c r="X25" s="31">
        <f t="shared" si="25"/>
        <v>0</v>
      </c>
      <c r="Y25" s="31">
        <f t="shared" si="26"/>
        <v>0</v>
      </c>
    </row>
    <row r="26" spans="1:25" x14ac:dyDescent="0.2">
      <c r="A26" s="29" t="s">
        <v>36</v>
      </c>
      <c r="B26" s="31">
        <f t="shared" si="6"/>
        <v>0</v>
      </c>
      <c r="C26" s="31">
        <f t="shared" si="7"/>
        <v>0</v>
      </c>
      <c r="D26" s="31">
        <f t="shared" si="8"/>
        <v>0</v>
      </c>
      <c r="E26" s="31"/>
      <c r="F26" s="31">
        <f t="shared" si="9"/>
        <v>0</v>
      </c>
      <c r="G26" s="31">
        <f t="shared" si="10"/>
        <v>0</v>
      </c>
      <c r="H26" s="31">
        <f t="shared" si="11"/>
        <v>0</v>
      </c>
      <c r="I26" s="31"/>
      <c r="J26" s="31">
        <f t="shared" si="12"/>
        <v>9757</v>
      </c>
      <c r="K26" s="31">
        <f t="shared" si="13"/>
        <v>0</v>
      </c>
      <c r="L26" s="31">
        <f t="shared" si="14"/>
        <v>0</v>
      </c>
      <c r="M26" s="31">
        <f t="shared" si="14"/>
        <v>0</v>
      </c>
      <c r="N26" s="31">
        <f t="shared" si="15"/>
        <v>2640</v>
      </c>
      <c r="O26" s="31">
        <f t="shared" si="16"/>
        <v>0</v>
      </c>
      <c r="P26" s="31">
        <f t="shared" si="17"/>
        <v>0</v>
      </c>
      <c r="Q26" s="31">
        <f t="shared" si="18"/>
        <v>0</v>
      </c>
      <c r="R26" s="31">
        <f t="shared" si="19"/>
        <v>0</v>
      </c>
      <c r="S26" s="31">
        <f t="shared" si="20"/>
        <v>0</v>
      </c>
      <c r="T26" s="31">
        <f t="shared" si="21"/>
        <v>0</v>
      </c>
      <c r="U26" s="31">
        <f t="shared" si="22"/>
        <v>0</v>
      </c>
      <c r="V26" s="31">
        <f t="shared" si="23"/>
        <v>0</v>
      </c>
      <c r="W26" s="31">
        <f t="shared" si="24"/>
        <v>0</v>
      </c>
      <c r="X26" s="31">
        <f t="shared" si="25"/>
        <v>0</v>
      </c>
      <c r="Y26" s="31">
        <f t="shared" si="26"/>
        <v>0</v>
      </c>
    </row>
    <row r="27" spans="1:25" x14ac:dyDescent="0.2">
      <c r="A27" s="12" t="s">
        <v>15</v>
      </c>
      <c r="B27" s="32">
        <f t="shared" si="6"/>
        <v>0</v>
      </c>
      <c r="C27" s="32">
        <f t="shared" si="7"/>
        <v>0</v>
      </c>
      <c r="D27" s="32">
        <f t="shared" si="8"/>
        <v>0</v>
      </c>
      <c r="E27" s="32"/>
      <c r="F27" s="32">
        <f t="shared" si="9"/>
        <v>0</v>
      </c>
      <c r="G27" s="32">
        <f t="shared" si="10"/>
        <v>0</v>
      </c>
      <c r="H27" s="32">
        <f t="shared" si="11"/>
        <v>0</v>
      </c>
      <c r="I27" s="32"/>
      <c r="J27" s="32">
        <f t="shared" si="12"/>
        <v>10647</v>
      </c>
      <c r="K27" s="32">
        <f t="shared" si="13"/>
        <v>0</v>
      </c>
      <c r="L27" s="32">
        <f t="shared" si="14"/>
        <v>0</v>
      </c>
      <c r="M27" s="32">
        <f t="shared" si="14"/>
        <v>0</v>
      </c>
      <c r="N27" s="32">
        <f t="shared" si="15"/>
        <v>3172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19"/>
        <v>0</v>
      </c>
      <c r="S27" s="32">
        <f t="shared" si="20"/>
        <v>0</v>
      </c>
      <c r="T27" s="32">
        <f t="shared" si="21"/>
        <v>0</v>
      </c>
      <c r="U27" s="32">
        <f t="shared" si="22"/>
        <v>0</v>
      </c>
      <c r="V27" s="32">
        <f t="shared" si="23"/>
        <v>0</v>
      </c>
      <c r="W27" s="32">
        <f t="shared" si="24"/>
        <v>0</v>
      </c>
      <c r="X27" s="32">
        <f t="shared" si="25"/>
        <v>0</v>
      </c>
      <c r="Y27" s="32">
        <f t="shared" si="26"/>
        <v>0</v>
      </c>
    </row>
    <row r="28" spans="1:25" x14ac:dyDescent="0.2">
      <c r="C28" s="16"/>
      <c r="D28" s="16"/>
      <c r="E28" s="16"/>
      <c r="G28" s="16"/>
      <c r="H28" s="16"/>
      <c r="I28" s="16"/>
      <c r="L28" s="16"/>
    </row>
    <row r="29" spans="1:25" x14ac:dyDescent="0.2">
      <c r="C29" s="16"/>
      <c r="D29" s="16"/>
      <c r="E29" s="16"/>
      <c r="L29" s="16"/>
    </row>
    <row r="30" spans="1:25" x14ac:dyDescent="0.2">
      <c r="C30" s="16"/>
      <c r="D30" s="16"/>
      <c r="E30" s="16"/>
      <c r="L30" s="16"/>
    </row>
    <row r="31" spans="1:25" x14ac:dyDescent="0.2">
      <c r="C31" s="16"/>
      <c r="D31" s="16"/>
      <c r="E31" s="16"/>
      <c r="L31" s="16"/>
    </row>
    <row r="32" spans="1:25" x14ac:dyDescent="0.2">
      <c r="C32" s="16"/>
      <c r="D32" s="16"/>
      <c r="E32" s="16"/>
      <c r="L32" s="16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</sheetData>
  <mergeCells count="8">
    <mergeCell ref="B1:D1"/>
    <mergeCell ref="F1:H1"/>
    <mergeCell ref="S2:U2"/>
    <mergeCell ref="W2:Y2"/>
    <mergeCell ref="O2:Q2"/>
    <mergeCell ref="K2:M2"/>
    <mergeCell ref="C2:D2"/>
    <mergeCell ref="G2:H2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2" max="2" width="0" hidden="1" customWidth="1"/>
    <col min="3" max="5" width="10.5703125" hidden="1" customWidth="1"/>
    <col min="6" max="6" width="0" hidden="1" customWidth="1"/>
    <col min="7" max="7" width="11" hidden="1" customWidth="1"/>
    <col min="8" max="9" width="10.85546875" hidden="1" customWidth="1"/>
    <col min="12" max="12" width="10.5703125" bestFit="1" customWidth="1"/>
  </cols>
  <sheetData>
    <row r="1" spans="1:27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192</v>
      </c>
      <c r="P1" s="119"/>
      <c r="S1" t="s">
        <v>193</v>
      </c>
      <c r="W1" t="s">
        <v>188</v>
      </c>
      <c r="AA1" t="s">
        <v>173</v>
      </c>
    </row>
    <row r="2" spans="1:27" x14ac:dyDescent="0.2">
      <c r="A2" s="3" t="s">
        <v>3</v>
      </c>
      <c r="B2" s="6" t="s">
        <v>6</v>
      </c>
      <c r="C2" s="360" t="s">
        <v>25</v>
      </c>
      <c r="D2" s="361"/>
      <c r="E2" s="122"/>
      <c r="F2" s="6" t="s">
        <v>6</v>
      </c>
      <c r="G2" s="360" t="s">
        <v>25</v>
      </c>
      <c r="H2" s="361"/>
      <c r="I2" s="114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</row>
    <row r="3" spans="1:27" x14ac:dyDescent="0.2">
      <c r="A3" s="4"/>
      <c r="B3" s="9"/>
      <c r="C3" s="17" t="s">
        <v>27</v>
      </c>
      <c r="D3" s="15" t="s">
        <v>26</v>
      </c>
      <c r="E3" s="115"/>
      <c r="F3" s="9"/>
      <c r="G3" s="17" t="s">
        <v>27</v>
      </c>
      <c r="H3" s="15" t="s">
        <v>26</v>
      </c>
      <c r="I3" s="117"/>
      <c r="J3" s="7"/>
      <c r="K3" s="21" t="s">
        <v>27</v>
      </c>
      <c r="L3" s="21" t="s">
        <v>26</v>
      </c>
      <c r="M3" s="134" t="s">
        <v>113</v>
      </c>
      <c r="N3" s="7"/>
      <c r="O3" s="21" t="s">
        <v>27</v>
      </c>
      <c r="P3" s="21" t="s">
        <v>26</v>
      </c>
      <c r="Q3" s="134" t="s">
        <v>113</v>
      </c>
    </row>
    <row r="4" spans="1:27" x14ac:dyDescent="0.2">
      <c r="A4" s="1" t="s">
        <v>4</v>
      </c>
      <c r="B4" s="22">
        <f t="shared" ref="B4:B15" si="0">C4+D4</f>
        <v>0</v>
      </c>
      <c r="C4" s="22"/>
      <c r="D4" s="22"/>
      <c r="E4" s="22"/>
      <c r="F4" s="22">
        <f t="shared" ref="F4:F15" si="1">G4+H4</f>
        <v>0</v>
      </c>
      <c r="G4" s="22"/>
      <c r="H4" s="22"/>
      <c r="I4" s="22"/>
      <c r="J4" s="22">
        <v>345</v>
      </c>
      <c r="K4" s="27"/>
      <c r="L4" s="27"/>
      <c r="M4" s="21"/>
      <c r="N4" s="22"/>
      <c r="O4" s="27"/>
      <c r="P4" s="27"/>
      <c r="Q4" s="21"/>
    </row>
    <row r="5" spans="1:27" x14ac:dyDescent="0.2">
      <c r="A5" s="1" t="s">
        <v>7</v>
      </c>
      <c r="B5" s="22">
        <f t="shared" si="0"/>
        <v>0</v>
      </c>
      <c r="C5" s="22"/>
      <c r="D5" s="22"/>
      <c r="E5" s="22"/>
      <c r="F5" s="22">
        <f t="shared" si="1"/>
        <v>0</v>
      </c>
      <c r="G5" s="22"/>
      <c r="H5" s="22"/>
      <c r="I5" s="22"/>
      <c r="J5" s="22">
        <v>345</v>
      </c>
      <c r="K5" s="22"/>
      <c r="L5" s="22"/>
      <c r="M5" s="21"/>
      <c r="N5" s="22"/>
      <c r="O5" s="22"/>
      <c r="P5" s="22"/>
      <c r="Q5" s="21"/>
    </row>
    <row r="6" spans="1:27" x14ac:dyDescent="0.2">
      <c r="A6" s="1" t="s">
        <v>8</v>
      </c>
      <c r="B6" s="22">
        <f t="shared" si="0"/>
        <v>0</v>
      </c>
      <c r="C6" s="22"/>
      <c r="D6" s="22"/>
      <c r="E6" s="22"/>
      <c r="F6" s="22">
        <f t="shared" si="1"/>
        <v>0</v>
      </c>
      <c r="G6" s="22"/>
      <c r="H6" s="22"/>
      <c r="I6" s="22"/>
      <c r="J6" s="22">
        <v>345</v>
      </c>
      <c r="K6" s="22"/>
      <c r="L6" s="22"/>
      <c r="M6" s="21"/>
      <c r="N6" s="22"/>
      <c r="O6" s="22"/>
      <c r="P6" s="22"/>
      <c r="Q6" s="21"/>
    </row>
    <row r="7" spans="1:27" x14ac:dyDescent="0.2">
      <c r="A7" s="1" t="s">
        <v>16</v>
      </c>
      <c r="B7" s="22">
        <f t="shared" si="0"/>
        <v>0</v>
      </c>
      <c r="C7" s="22"/>
      <c r="D7" s="22"/>
      <c r="E7" s="22"/>
      <c r="F7" s="22">
        <f t="shared" si="1"/>
        <v>0</v>
      </c>
      <c r="G7" s="22"/>
      <c r="H7" s="22"/>
      <c r="I7" s="22"/>
      <c r="J7" s="22">
        <v>345</v>
      </c>
      <c r="K7" s="22"/>
      <c r="L7" s="22"/>
      <c r="M7" s="21"/>
      <c r="N7" s="22"/>
      <c r="O7" s="22"/>
      <c r="P7" s="22"/>
      <c r="Q7" s="21"/>
    </row>
    <row r="8" spans="1:27" x14ac:dyDescent="0.2">
      <c r="A8" s="1" t="s">
        <v>17</v>
      </c>
      <c r="B8" s="22">
        <f t="shared" si="0"/>
        <v>0</v>
      </c>
      <c r="C8" s="22"/>
      <c r="D8" s="22"/>
      <c r="E8" s="22"/>
      <c r="F8" s="22">
        <f t="shared" si="1"/>
        <v>0</v>
      </c>
      <c r="G8" s="22"/>
      <c r="H8" s="22"/>
      <c r="I8" s="22"/>
      <c r="J8" s="22">
        <v>345</v>
      </c>
      <c r="K8" s="22"/>
      <c r="L8" s="22"/>
      <c r="M8" s="21"/>
      <c r="N8" s="22"/>
      <c r="O8" s="22"/>
      <c r="P8" s="22"/>
      <c r="Q8" s="21"/>
    </row>
    <row r="9" spans="1:27" x14ac:dyDescent="0.2">
      <c r="A9" s="1" t="s">
        <v>18</v>
      </c>
      <c r="B9" s="22">
        <f t="shared" si="0"/>
        <v>0</v>
      </c>
      <c r="C9" s="22"/>
      <c r="D9" s="22"/>
      <c r="E9" s="22"/>
      <c r="F9" s="22">
        <f t="shared" si="1"/>
        <v>0</v>
      </c>
      <c r="G9" s="22"/>
      <c r="H9" s="22"/>
      <c r="I9" s="22"/>
      <c r="J9" s="22">
        <v>345</v>
      </c>
      <c r="K9" s="22"/>
      <c r="L9" s="22"/>
      <c r="M9" s="21"/>
      <c r="N9" s="22"/>
      <c r="O9" s="22"/>
      <c r="P9" s="22"/>
      <c r="Q9" s="21"/>
    </row>
    <row r="10" spans="1:27" x14ac:dyDescent="0.2">
      <c r="A10" s="82" t="s">
        <v>19</v>
      </c>
      <c r="B10" s="104">
        <f t="shared" si="0"/>
        <v>0</v>
      </c>
      <c r="C10" s="84"/>
      <c r="D10" s="84"/>
      <c r="E10" s="84"/>
      <c r="F10" s="104">
        <f t="shared" si="1"/>
        <v>0</v>
      </c>
      <c r="G10" s="84"/>
      <c r="H10" s="84"/>
      <c r="I10" s="84"/>
      <c r="J10" s="22">
        <v>345</v>
      </c>
      <c r="K10" s="22"/>
      <c r="L10" s="22"/>
      <c r="M10" s="21"/>
      <c r="N10" s="22">
        <v>205</v>
      </c>
      <c r="O10" s="22"/>
      <c r="P10" s="22"/>
      <c r="Q10" s="21"/>
    </row>
    <row r="11" spans="1:27" x14ac:dyDescent="0.2">
      <c r="A11" s="1" t="s">
        <v>10</v>
      </c>
      <c r="B11" s="22">
        <f t="shared" si="0"/>
        <v>0</v>
      </c>
      <c r="C11" s="22"/>
      <c r="D11" s="22"/>
      <c r="E11" s="22"/>
      <c r="F11" s="22">
        <f t="shared" si="1"/>
        <v>0</v>
      </c>
      <c r="G11" s="22"/>
      <c r="H11" s="22"/>
      <c r="I11" s="22"/>
      <c r="J11" s="22">
        <v>345</v>
      </c>
      <c r="K11" s="22"/>
      <c r="L11" s="22"/>
      <c r="M11" s="21"/>
      <c r="N11" s="22">
        <v>205</v>
      </c>
      <c r="O11" s="22"/>
      <c r="P11" s="22"/>
      <c r="Q11" s="21"/>
    </row>
    <row r="12" spans="1:27" x14ac:dyDescent="0.2">
      <c r="A12" s="1" t="s">
        <v>11</v>
      </c>
      <c r="B12" s="22">
        <f t="shared" si="0"/>
        <v>0</v>
      </c>
      <c r="C12" s="22"/>
      <c r="D12" s="22"/>
      <c r="E12" s="22"/>
      <c r="F12" s="22">
        <f t="shared" si="1"/>
        <v>0</v>
      </c>
      <c r="G12" s="22"/>
      <c r="H12" s="22"/>
      <c r="I12" s="22"/>
      <c r="J12" s="22">
        <v>345</v>
      </c>
      <c r="K12" s="22"/>
      <c r="L12" s="22"/>
      <c r="M12" s="21"/>
      <c r="N12" s="22">
        <v>205</v>
      </c>
      <c r="O12" s="22"/>
      <c r="P12" s="22"/>
      <c r="Q12" s="21"/>
    </row>
    <row r="13" spans="1:27" x14ac:dyDescent="0.2">
      <c r="A13" s="1" t="s">
        <v>12</v>
      </c>
      <c r="B13" s="22">
        <f t="shared" si="0"/>
        <v>0</v>
      </c>
      <c r="C13" s="22"/>
      <c r="D13" s="22"/>
      <c r="E13" s="22"/>
      <c r="F13" s="22">
        <f t="shared" si="1"/>
        <v>0</v>
      </c>
      <c r="G13" s="22"/>
      <c r="H13" s="22"/>
      <c r="I13" s="22"/>
      <c r="J13" s="22">
        <v>345</v>
      </c>
      <c r="K13" s="22"/>
      <c r="L13" s="22"/>
      <c r="M13" s="21"/>
      <c r="N13" s="22">
        <v>205</v>
      </c>
      <c r="O13" s="22"/>
      <c r="P13" s="22"/>
      <c r="Q13" s="21"/>
    </row>
    <row r="14" spans="1:27" x14ac:dyDescent="0.2">
      <c r="A14" s="1" t="s">
        <v>13</v>
      </c>
      <c r="B14" s="22">
        <f t="shared" si="0"/>
        <v>0</v>
      </c>
      <c r="C14" s="22"/>
      <c r="D14" s="22"/>
      <c r="E14" s="22"/>
      <c r="F14" s="22">
        <f t="shared" si="1"/>
        <v>0</v>
      </c>
      <c r="G14" s="22"/>
      <c r="H14" s="22"/>
      <c r="I14" s="22"/>
      <c r="J14" s="22">
        <v>345</v>
      </c>
      <c r="K14" s="22"/>
      <c r="L14" s="22"/>
      <c r="M14" s="22"/>
      <c r="N14" s="22">
        <v>205</v>
      </c>
      <c r="O14" s="22"/>
      <c r="P14" s="22"/>
      <c r="Q14" s="22"/>
    </row>
    <row r="15" spans="1:27" x14ac:dyDescent="0.2">
      <c r="A15" s="1" t="s">
        <v>14</v>
      </c>
      <c r="B15" s="22">
        <f t="shared" si="0"/>
        <v>0</v>
      </c>
      <c r="C15" s="22"/>
      <c r="D15" s="22"/>
      <c r="E15" s="22"/>
      <c r="F15" s="22">
        <f t="shared" si="1"/>
        <v>0</v>
      </c>
      <c r="G15" s="22"/>
      <c r="H15" s="22"/>
      <c r="I15" s="22"/>
      <c r="J15" s="22">
        <v>335</v>
      </c>
      <c r="K15" s="22"/>
      <c r="L15" s="22"/>
      <c r="M15" s="22"/>
      <c r="N15" s="22">
        <v>206</v>
      </c>
      <c r="O15" s="22"/>
      <c r="P15" s="22"/>
      <c r="Q15" s="22"/>
    </row>
    <row r="16" spans="1:27" x14ac:dyDescent="0.2">
      <c r="A16" s="1" t="s">
        <v>6</v>
      </c>
      <c r="B16" s="22">
        <f t="shared" ref="B16:M16" si="2">SUM(B4:B15)</f>
        <v>0</v>
      </c>
      <c r="C16" s="22">
        <f t="shared" si="2"/>
        <v>0</v>
      </c>
      <c r="D16" s="22">
        <f t="shared" si="2"/>
        <v>0</v>
      </c>
      <c r="E16" s="22"/>
      <c r="F16" s="22">
        <f t="shared" si="2"/>
        <v>0</v>
      </c>
      <c r="G16" s="22">
        <f t="shared" si="2"/>
        <v>0</v>
      </c>
      <c r="H16" s="22">
        <f t="shared" si="2"/>
        <v>0</v>
      </c>
      <c r="I16" s="22"/>
      <c r="J16" s="22">
        <f t="shared" si="2"/>
        <v>4130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>SUM(N4:N15)</f>
        <v>1231</v>
      </c>
      <c r="O16" s="22">
        <f>SUM(O4:O15)</f>
        <v>0</v>
      </c>
      <c r="P16" s="22">
        <f>SUM(P4:P15)</f>
        <v>0</v>
      </c>
      <c r="Q16" s="22">
        <f>SUM(Q4:Q15)</f>
        <v>0</v>
      </c>
    </row>
    <row r="17" spans="1:17" x14ac:dyDescent="0.2">
      <c r="A17" s="28" t="s">
        <v>28</v>
      </c>
      <c r="B17" s="30">
        <f t="shared" ref="B17:L17" si="3">B4+B5</f>
        <v>0</v>
      </c>
      <c r="C17" s="30">
        <f t="shared" si="3"/>
        <v>0</v>
      </c>
      <c r="D17" s="30">
        <f t="shared" si="3"/>
        <v>0</v>
      </c>
      <c r="E17" s="30"/>
      <c r="F17" s="30">
        <f t="shared" si="3"/>
        <v>0</v>
      </c>
      <c r="G17" s="30">
        <f t="shared" si="3"/>
        <v>0</v>
      </c>
      <c r="H17" s="30">
        <f t="shared" si="3"/>
        <v>0</v>
      </c>
      <c r="I17" s="30"/>
      <c r="J17" s="30">
        <f t="shared" si="3"/>
        <v>690</v>
      </c>
      <c r="K17" s="30">
        <f t="shared" si="3"/>
        <v>0</v>
      </c>
      <c r="L17" s="30">
        <f t="shared" si="3"/>
        <v>0</v>
      </c>
      <c r="M17" s="30">
        <f>M4+M5</f>
        <v>0</v>
      </c>
      <c r="N17" s="30">
        <f>N4+N5</f>
        <v>0</v>
      </c>
      <c r="O17" s="30">
        <f>O4+O5</f>
        <v>0</v>
      </c>
      <c r="P17" s="30">
        <f>P4+P5</f>
        <v>0</v>
      </c>
      <c r="Q17" s="30">
        <f>Q4+Q5</f>
        <v>0</v>
      </c>
    </row>
    <row r="18" spans="1:17" x14ac:dyDescent="0.2">
      <c r="A18" s="28" t="s">
        <v>37</v>
      </c>
      <c r="B18" s="30">
        <f t="shared" ref="B18:B27" si="4">B17+B6</f>
        <v>0</v>
      </c>
      <c r="C18" s="30">
        <f t="shared" ref="C18:C27" si="5">C17+C6</f>
        <v>0</v>
      </c>
      <c r="D18" s="30">
        <f t="shared" ref="D18:D27" si="6">D17+D6</f>
        <v>0</v>
      </c>
      <c r="E18" s="30"/>
      <c r="F18" s="30">
        <f t="shared" ref="F18:F27" si="7">F17+F6</f>
        <v>0</v>
      </c>
      <c r="G18" s="30">
        <f t="shared" ref="G18:G27" si="8">G17+G6</f>
        <v>0</v>
      </c>
      <c r="H18" s="30">
        <f t="shared" ref="H18:H27" si="9">H17+H6</f>
        <v>0</v>
      </c>
      <c r="I18" s="30"/>
      <c r="J18" s="30">
        <f t="shared" ref="J18:J27" si="10">J17+J6</f>
        <v>1035</v>
      </c>
      <c r="K18" s="30">
        <f t="shared" ref="K18:K27" si="11">K17+K6</f>
        <v>0</v>
      </c>
      <c r="L18" s="30">
        <f t="shared" ref="L18:M27" si="12">L17+L6</f>
        <v>0</v>
      </c>
      <c r="M18" s="30">
        <f t="shared" si="12"/>
        <v>0</v>
      </c>
      <c r="N18" s="30">
        <f t="shared" ref="N18:N27" si="13">N17+N6</f>
        <v>0</v>
      </c>
      <c r="O18" s="30">
        <f t="shared" ref="O18:O27" si="14">O17+O6</f>
        <v>0</v>
      </c>
      <c r="P18" s="30">
        <f t="shared" ref="P18:P27" si="15">P17+P6</f>
        <v>0</v>
      </c>
      <c r="Q18" s="30">
        <f t="shared" ref="Q18:Q27" si="16">Q17+Q6</f>
        <v>0</v>
      </c>
    </row>
    <row r="19" spans="1:17" x14ac:dyDescent="0.2">
      <c r="A19" s="28" t="s">
        <v>29</v>
      </c>
      <c r="B19" s="30">
        <f t="shared" si="4"/>
        <v>0</v>
      </c>
      <c r="C19" s="30">
        <f t="shared" si="5"/>
        <v>0</v>
      </c>
      <c r="D19" s="30">
        <f t="shared" si="6"/>
        <v>0</v>
      </c>
      <c r="E19" s="30"/>
      <c r="F19" s="30">
        <f t="shared" si="7"/>
        <v>0</v>
      </c>
      <c r="G19" s="30">
        <f t="shared" si="8"/>
        <v>0</v>
      </c>
      <c r="H19" s="30">
        <f t="shared" si="9"/>
        <v>0</v>
      </c>
      <c r="I19" s="30"/>
      <c r="J19" s="30">
        <f t="shared" si="10"/>
        <v>1380</v>
      </c>
      <c r="K19" s="30">
        <f t="shared" si="11"/>
        <v>0</v>
      </c>
      <c r="L19" s="30">
        <f t="shared" si="12"/>
        <v>0</v>
      </c>
      <c r="M19" s="30">
        <f t="shared" si="12"/>
        <v>0</v>
      </c>
      <c r="N19" s="30">
        <f t="shared" si="13"/>
        <v>0</v>
      </c>
      <c r="O19" s="30">
        <f t="shared" si="14"/>
        <v>0</v>
      </c>
      <c r="P19" s="30">
        <f t="shared" si="15"/>
        <v>0</v>
      </c>
      <c r="Q19" s="30">
        <f t="shared" si="16"/>
        <v>0</v>
      </c>
    </row>
    <row r="20" spans="1:17" x14ac:dyDescent="0.2">
      <c r="A20" s="28" t="s">
        <v>30</v>
      </c>
      <c r="B20" s="30">
        <f t="shared" si="4"/>
        <v>0</v>
      </c>
      <c r="C20" s="30">
        <f t="shared" si="5"/>
        <v>0</v>
      </c>
      <c r="D20" s="30">
        <f t="shared" si="6"/>
        <v>0</v>
      </c>
      <c r="E20" s="30"/>
      <c r="F20" s="30">
        <f t="shared" si="7"/>
        <v>0</v>
      </c>
      <c r="G20" s="30">
        <f t="shared" si="8"/>
        <v>0</v>
      </c>
      <c r="H20" s="30">
        <f t="shared" si="9"/>
        <v>0</v>
      </c>
      <c r="I20" s="30"/>
      <c r="J20" s="30">
        <f t="shared" si="10"/>
        <v>1725</v>
      </c>
      <c r="K20" s="30">
        <f t="shared" si="11"/>
        <v>0</v>
      </c>
      <c r="L20" s="30">
        <f t="shared" si="12"/>
        <v>0</v>
      </c>
      <c r="M20" s="30">
        <f t="shared" si="12"/>
        <v>0</v>
      </c>
      <c r="N20" s="30">
        <f t="shared" si="13"/>
        <v>0</v>
      </c>
      <c r="O20" s="30">
        <f t="shared" si="14"/>
        <v>0</v>
      </c>
      <c r="P20" s="30">
        <f t="shared" si="15"/>
        <v>0</v>
      </c>
      <c r="Q20" s="30">
        <f t="shared" si="16"/>
        <v>0</v>
      </c>
    </row>
    <row r="21" spans="1:17" x14ac:dyDescent="0.2">
      <c r="A21" s="28" t="s">
        <v>31</v>
      </c>
      <c r="B21" s="30">
        <f t="shared" si="4"/>
        <v>0</v>
      </c>
      <c r="C21" s="30">
        <f t="shared" si="5"/>
        <v>0</v>
      </c>
      <c r="D21" s="30">
        <f t="shared" si="6"/>
        <v>0</v>
      </c>
      <c r="E21" s="30"/>
      <c r="F21" s="30">
        <f t="shared" si="7"/>
        <v>0</v>
      </c>
      <c r="G21" s="30">
        <f t="shared" si="8"/>
        <v>0</v>
      </c>
      <c r="H21" s="30">
        <f t="shared" si="9"/>
        <v>0</v>
      </c>
      <c r="I21" s="30"/>
      <c r="J21" s="30">
        <f t="shared" si="10"/>
        <v>2070</v>
      </c>
      <c r="K21" s="30">
        <f t="shared" si="11"/>
        <v>0</v>
      </c>
      <c r="L21" s="30">
        <f t="shared" si="12"/>
        <v>0</v>
      </c>
      <c r="M21" s="30">
        <f t="shared" si="12"/>
        <v>0</v>
      </c>
      <c r="N21" s="30">
        <f t="shared" si="13"/>
        <v>0</v>
      </c>
      <c r="O21" s="30">
        <f t="shared" si="14"/>
        <v>0</v>
      </c>
      <c r="P21" s="30">
        <f t="shared" si="15"/>
        <v>0</v>
      </c>
      <c r="Q21" s="30">
        <f t="shared" si="16"/>
        <v>0</v>
      </c>
    </row>
    <row r="22" spans="1:17" x14ac:dyDescent="0.2">
      <c r="A22" s="28" t="s">
        <v>32</v>
      </c>
      <c r="B22" s="30">
        <f t="shared" si="4"/>
        <v>0</v>
      </c>
      <c r="C22" s="30">
        <f t="shared" si="5"/>
        <v>0</v>
      </c>
      <c r="D22" s="30">
        <f t="shared" si="6"/>
        <v>0</v>
      </c>
      <c r="E22" s="30"/>
      <c r="F22" s="30">
        <f t="shared" si="7"/>
        <v>0</v>
      </c>
      <c r="G22" s="30">
        <f t="shared" si="8"/>
        <v>0</v>
      </c>
      <c r="H22" s="30">
        <f t="shared" si="9"/>
        <v>0</v>
      </c>
      <c r="I22" s="30"/>
      <c r="J22" s="30">
        <f t="shared" si="10"/>
        <v>2415</v>
      </c>
      <c r="K22" s="30">
        <f t="shared" si="11"/>
        <v>0</v>
      </c>
      <c r="L22" s="30">
        <f t="shared" si="12"/>
        <v>0</v>
      </c>
      <c r="M22" s="30">
        <f t="shared" si="12"/>
        <v>0</v>
      </c>
      <c r="N22" s="30">
        <f t="shared" si="13"/>
        <v>205</v>
      </c>
      <c r="O22" s="30">
        <f t="shared" si="14"/>
        <v>0</v>
      </c>
      <c r="P22" s="30">
        <f t="shared" si="15"/>
        <v>0</v>
      </c>
      <c r="Q22" s="30">
        <f t="shared" si="16"/>
        <v>0</v>
      </c>
    </row>
    <row r="23" spans="1:17" x14ac:dyDescent="0.2">
      <c r="A23" s="28" t="s">
        <v>33</v>
      </c>
      <c r="B23" s="30">
        <f t="shared" si="4"/>
        <v>0</v>
      </c>
      <c r="C23" s="30">
        <f t="shared" si="5"/>
        <v>0</v>
      </c>
      <c r="D23" s="30">
        <f t="shared" si="6"/>
        <v>0</v>
      </c>
      <c r="E23" s="30"/>
      <c r="F23" s="30">
        <f t="shared" si="7"/>
        <v>0</v>
      </c>
      <c r="G23" s="30">
        <f t="shared" si="8"/>
        <v>0</v>
      </c>
      <c r="H23" s="30">
        <f t="shared" si="9"/>
        <v>0</v>
      </c>
      <c r="I23" s="30"/>
      <c r="J23" s="30">
        <f t="shared" si="10"/>
        <v>2760</v>
      </c>
      <c r="K23" s="30">
        <f t="shared" si="11"/>
        <v>0</v>
      </c>
      <c r="L23" s="30">
        <f t="shared" si="12"/>
        <v>0</v>
      </c>
      <c r="M23" s="30">
        <f t="shared" si="12"/>
        <v>0</v>
      </c>
      <c r="N23" s="30">
        <f t="shared" si="13"/>
        <v>410</v>
      </c>
      <c r="O23" s="30">
        <f t="shared" si="14"/>
        <v>0</v>
      </c>
      <c r="P23" s="30">
        <f t="shared" si="15"/>
        <v>0</v>
      </c>
      <c r="Q23" s="30">
        <f t="shared" si="16"/>
        <v>0</v>
      </c>
    </row>
    <row r="24" spans="1:17" x14ac:dyDescent="0.2">
      <c r="A24" s="28" t="s">
        <v>34</v>
      </c>
      <c r="B24" s="30">
        <f t="shared" si="4"/>
        <v>0</v>
      </c>
      <c r="C24" s="30">
        <f t="shared" si="5"/>
        <v>0</v>
      </c>
      <c r="D24" s="30">
        <f t="shared" si="6"/>
        <v>0</v>
      </c>
      <c r="E24" s="30"/>
      <c r="F24" s="30">
        <f t="shared" si="7"/>
        <v>0</v>
      </c>
      <c r="G24" s="30">
        <f t="shared" si="8"/>
        <v>0</v>
      </c>
      <c r="H24" s="30">
        <f t="shared" si="9"/>
        <v>0</v>
      </c>
      <c r="I24" s="30"/>
      <c r="J24" s="30">
        <f t="shared" si="10"/>
        <v>3105</v>
      </c>
      <c r="K24" s="30">
        <f t="shared" si="11"/>
        <v>0</v>
      </c>
      <c r="L24" s="30">
        <f t="shared" si="12"/>
        <v>0</v>
      </c>
      <c r="M24" s="30">
        <f t="shared" si="12"/>
        <v>0</v>
      </c>
      <c r="N24" s="30">
        <f t="shared" si="13"/>
        <v>615</v>
      </c>
      <c r="O24" s="30">
        <f t="shared" si="14"/>
        <v>0</v>
      </c>
      <c r="P24" s="30">
        <f t="shared" si="15"/>
        <v>0</v>
      </c>
      <c r="Q24" s="30">
        <f t="shared" si="16"/>
        <v>0</v>
      </c>
    </row>
    <row r="25" spans="1:17" x14ac:dyDescent="0.2">
      <c r="A25" s="29" t="s">
        <v>35</v>
      </c>
      <c r="B25" s="31">
        <f t="shared" si="4"/>
        <v>0</v>
      </c>
      <c r="C25" s="31">
        <f t="shared" si="5"/>
        <v>0</v>
      </c>
      <c r="D25" s="31">
        <f t="shared" si="6"/>
        <v>0</v>
      </c>
      <c r="E25" s="31"/>
      <c r="F25" s="31">
        <f t="shared" si="7"/>
        <v>0</v>
      </c>
      <c r="G25" s="31">
        <f t="shared" si="8"/>
        <v>0</v>
      </c>
      <c r="H25" s="31">
        <f t="shared" si="9"/>
        <v>0</v>
      </c>
      <c r="I25" s="31"/>
      <c r="J25" s="31">
        <f t="shared" si="10"/>
        <v>3450</v>
      </c>
      <c r="K25" s="31">
        <f t="shared" si="11"/>
        <v>0</v>
      </c>
      <c r="L25" s="31">
        <f t="shared" si="12"/>
        <v>0</v>
      </c>
      <c r="M25" s="31">
        <f t="shared" si="12"/>
        <v>0</v>
      </c>
      <c r="N25" s="31">
        <f t="shared" si="13"/>
        <v>820</v>
      </c>
      <c r="O25" s="31">
        <f t="shared" si="14"/>
        <v>0</v>
      </c>
      <c r="P25" s="31">
        <f t="shared" si="15"/>
        <v>0</v>
      </c>
      <c r="Q25" s="31">
        <f t="shared" si="16"/>
        <v>0</v>
      </c>
    </row>
    <row r="26" spans="1:17" x14ac:dyDescent="0.2">
      <c r="A26" s="29" t="s">
        <v>36</v>
      </c>
      <c r="B26" s="31">
        <f t="shared" si="4"/>
        <v>0</v>
      </c>
      <c r="C26" s="31">
        <f t="shared" si="5"/>
        <v>0</v>
      </c>
      <c r="D26" s="31">
        <f t="shared" si="6"/>
        <v>0</v>
      </c>
      <c r="E26" s="31"/>
      <c r="F26" s="31">
        <f t="shared" si="7"/>
        <v>0</v>
      </c>
      <c r="G26" s="31">
        <f t="shared" si="8"/>
        <v>0</v>
      </c>
      <c r="H26" s="31">
        <f t="shared" si="9"/>
        <v>0</v>
      </c>
      <c r="I26" s="31"/>
      <c r="J26" s="31">
        <f t="shared" si="10"/>
        <v>3795</v>
      </c>
      <c r="K26" s="31">
        <f t="shared" si="11"/>
        <v>0</v>
      </c>
      <c r="L26" s="31">
        <f t="shared" si="12"/>
        <v>0</v>
      </c>
      <c r="M26" s="31">
        <f t="shared" si="12"/>
        <v>0</v>
      </c>
      <c r="N26" s="31">
        <f t="shared" si="13"/>
        <v>1025</v>
      </c>
      <c r="O26" s="31">
        <f t="shared" si="14"/>
        <v>0</v>
      </c>
      <c r="P26" s="31">
        <f t="shared" si="15"/>
        <v>0</v>
      </c>
      <c r="Q26" s="31">
        <f t="shared" si="16"/>
        <v>0</v>
      </c>
    </row>
    <row r="27" spans="1:17" x14ac:dyDescent="0.2">
      <c r="A27" s="12" t="s">
        <v>15</v>
      </c>
      <c r="B27" s="32">
        <f t="shared" si="4"/>
        <v>0</v>
      </c>
      <c r="C27" s="32">
        <f t="shared" si="5"/>
        <v>0</v>
      </c>
      <c r="D27" s="32">
        <f t="shared" si="6"/>
        <v>0</v>
      </c>
      <c r="E27" s="32"/>
      <c r="F27" s="32">
        <f t="shared" si="7"/>
        <v>0</v>
      </c>
      <c r="G27" s="32">
        <f t="shared" si="8"/>
        <v>0</v>
      </c>
      <c r="H27" s="32">
        <f t="shared" si="9"/>
        <v>0</v>
      </c>
      <c r="I27" s="32"/>
      <c r="J27" s="32">
        <f t="shared" si="10"/>
        <v>4130</v>
      </c>
      <c r="K27" s="32">
        <f t="shared" si="11"/>
        <v>0</v>
      </c>
      <c r="L27" s="32">
        <f t="shared" si="12"/>
        <v>0</v>
      </c>
      <c r="M27" s="32">
        <f t="shared" si="12"/>
        <v>0</v>
      </c>
      <c r="N27" s="32">
        <f t="shared" si="13"/>
        <v>1231</v>
      </c>
      <c r="O27" s="32">
        <f t="shared" si="14"/>
        <v>0</v>
      </c>
      <c r="P27" s="32">
        <f t="shared" si="15"/>
        <v>0</v>
      </c>
      <c r="Q27" s="32">
        <f t="shared" si="16"/>
        <v>0</v>
      </c>
    </row>
    <row r="28" spans="1:17" x14ac:dyDescent="0.2">
      <c r="C28" s="16"/>
      <c r="D28" s="16"/>
      <c r="E28" s="16"/>
      <c r="G28" s="16"/>
      <c r="H28" s="16"/>
      <c r="I28" s="16"/>
      <c r="L28" s="16"/>
    </row>
    <row r="29" spans="1:17" x14ac:dyDescent="0.2">
      <c r="C29" s="16"/>
      <c r="D29" s="16"/>
      <c r="E29" s="16"/>
      <c r="L29" s="16"/>
    </row>
    <row r="30" spans="1:17" x14ac:dyDescent="0.2">
      <c r="C30" s="16"/>
      <c r="D30" s="16"/>
      <c r="E30" s="16"/>
      <c r="L30" s="16"/>
    </row>
    <row r="31" spans="1:17" x14ac:dyDescent="0.2">
      <c r="C31" s="16"/>
      <c r="D31" s="16"/>
      <c r="E31" s="16"/>
      <c r="L31" s="16"/>
    </row>
    <row r="32" spans="1:17" x14ac:dyDescent="0.2">
      <c r="C32" s="16"/>
      <c r="D32" s="16"/>
      <c r="E32" s="16"/>
      <c r="L32" s="16"/>
    </row>
    <row r="33" spans="12:12" x14ac:dyDescent="0.2">
      <c r="L33" s="16"/>
    </row>
    <row r="34" spans="12:12" x14ac:dyDescent="0.2">
      <c r="L34" s="16"/>
    </row>
    <row r="35" spans="12:12" x14ac:dyDescent="0.2">
      <c r="L35" s="16"/>
    </row>
  </sheetData>
  <mergeCells count="6">
    <mergeCell ref="B1:D1"/>
    <mergeCell ref="F1:H1"/>
    <mergeCell ref="O2:Q2"/>
    <mergeCell ref="K2:M2"/>
    <mergeCell ref="C2:D2"/>
    <mergeCell ref="G2:H2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4"/>
  <sheetViews>
    <sheetView tabSelected="1" zoomScale="90" workbookViewId="0">
      <pane xSplit="2" ySplit="5" topLeftCell="O6" activePane="bottomRight" state="frozen"/>
      <selection activeCell="AQ73" sqref="AQ73"/>
      <selection pane="topRight" activeCell="AQ73" sqref="AQ73"/>
      <selection pane="bottomLeft" activeCell="AQ73" sqref="AQ73"/>
      <selection pane="bottomRight" sqref="A1:AD1"/>
    </sheetView>
  </sheetViews>
  <sheetFormatPr defaultRowHeight="12.75" x14ac:dyDescent="0.2"/>
  <cols>
    <col min="1" max="1" width="4" customWidth="1"/>
    <col min="2" max="2" width="78.5703125" customWidth="1"/>
    <col min="3" max="3" width="12.7109375" hidden="1" customWidth="1"/>
    <col min="4" max="4" width="13" hidden="1" customWidth="1"/>
    <col min="5" max="5" width="9.7109375" hidden="1" customWidth="1"/>
    <col min="6" max="7" width="11" hidden="1" customWidth="1"/>
    <col min="8" max="8" width="7.85546875" hidden="1" customWidth="1"/>
    <col min="9" max="9" width="11" hidden="1" customWidth="1"/>
    <col min="10" max="10" width="15" hidden="1" customWidth="1"/>
    <col min="11" max="11" width="9.7109375" hidden="1" customWidth="1"/>
    <col min="12" max="12" width="13.85546875" hidden="1" customWidth="1"/>
    <col min="13" max="13" width="15.7109375" hidden="1" customWidth="1"/>
    <col min="14" max="14" width="8.85546875" hidden="1" customWidth="1"/>
    <col min="15" max="15" width="13.140625" hidden="1" customWidth="1"/>
    <col min="16" max="16" width="11" hidden="1" customWidth="1"/>
    <col min="17" max="17" width="8.85546875" hidden="1" customWidth="1"/>
    <col min="18" max="18" width="11.85546875" hidden="1" customWidth="1"/>
    <col min="19" max="19" width="11" hidden="1" customWidth="1"/>
    <col min="20" max="20" width="9" hidden="1" customWidth="1"/>
    <col min="21" max="22" width="11.85546875" hidden="1" customWidth="1"/>
    <col min="23" max="23" width="7.85546875" hidden="1" customWidth="1"/>
    <col min="24" max="24" width="16.5703125" customWidth="1"/>
    <col min="25" max="25" width="17.140625" customWidth="1"/>
    <col min="26" max="26" width="18" customWidth="1"/>
    <col min="27" max="27" width="21.85546875" customWidth="1"/>
    <col min="28" max="28" width="18" customWidth="1"/>
    <col min="29" max="29" width="18.85546875" customWidth="1"/>
    <col min="30" max="30" width="16" customWidth="1"/>
    <col min="31" max="31" width="13.85546875" hidden="1" customWidth="1"/>
    <col min="32" max="32" width="15.28515625" hidden="1" customWidth="1"/>
  </cols>
  <sheetData>
    <row r="1" spans="1:32" ht="19.5" thickBot="1" x14ac:dyDescent="0.35">
      <c r="A1" s="378" t="s">
        <v>282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2" ht="16.5" hidden="1" thickBot="1" x14ac:dyDescent="0.3">
      <c r="A2" s="382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267" t="s">
        <v>266</v>
      </c>
      <c r="AB2" s="217"/>
    </row>
    <row r="3" spans="1:32" ht="19.5" thickBot="1" x14ac:dyDescent="0.35">
      <c r="A3" s="34"/>
      <c r="B3" s="35"/>
      <c r="C3" s="384" t="s">
        <v>0</v>
      </c>
      <c r="D3" s="385"/>
      <c r="E3" s="386"/>
      <c r="F3" s="384" t="s">
        <v>1</v>
      </c>
      <c r="G3" s="385"/>
      <c r="H3" s="385"/>
      <c r="I3" s="379" t="s">
        <v>184</v>
      </c>
      <c r="J3" s="380"/>
      <c r="K3" s="381"/>
      <c r="L3" s="379" t="s">
        <v>101</v>
      </c>
      <c r="M3" s="380"/>
      <c r="N3" s="381"/>
      <c r="O3" s="379" t="s">
        <v>185</v>
      </c>
      <c r="P3" s="380"/>
      <c r="Q3" s="381"/>
      <c r="R3" s="379" t="s">
        <v>172</v>
      </c>
      <c r="S3" s="380"/>
      <c r="T3" s="381"/>
      <c r="U3" s="379" t="s">
        <v>173</v>
      </c>
      <c r="V3" s="380"/>
      <c r="W3" s="381"/>
      <c r="X3" s="387" t="s">
        <v>175</v>
      </c>
      <c r="Y3" s="388"/>
      <c r="Z3" s="388"/>
      <c r="AA3" s="388"/>
      <c r="AB3" s="388"/>
      <c r="AC3" s="388"/>
      <c r="AD3" s="388"/>
      <c r="AE3" s="2" t="s">
        <v>196</v>
      </c>
    </row>
    <row r="4" spans="1:32" ht="15.75" x14ac:dyDescent="0.25">
      <c r="A4" s="393" t="s">
        <v>41</v>
      </c>
      <c r="B4" s="394"/>
      <c r="C4" s="36" t="s">
        <v>40</v>
      </c>
      <c r="D4" s="37" t="s">
        <v>42</v>
      </c>
      <c r="E4" s="43" t="s">
        <v>39</v>
      </c>
      <c r="F4" s="37" t="s">
        <v>40</v>
      </c>
      <c r="G4" s="37" t="s">
        <v>42</v>
      </c>
      <c r="H4" s="38" t="s">
        <v>39</v>
      </c>
      <c r="I4" s="218" t="s">
        <v>40</v>
      </c>
      <c r="J4" s="37" t="s">
        <v>42</v>
      </c>
      <c r="K4" s="219" t="s">
        <v>39</v>
      </c>
      <c r="L4" s="218" t="s">
        <v>40</v>
      </c>
      <c r="M4" s="37" t="s">
        <v>42</v>
      </c>
      <c r="N4" s="219" t="s">
        <v>39</v>
      </c>
      <c r="O4" s="218" t="s">
        <v>40</v>
      </c>
      <c r="P4" s="37" t="s">
        <v>42</v>
      </c>
      <c r="Q4" s="219" t="s">
        <v>39</v>
      </c>
      <c r="R4" s="218" t="s">
        <v>40</v>
      </c>
      <c r="S4" s="37" t="s">
        <v>42</v>
      </c>
      <c r="T4" s="219" t="s">
        <v>39</v>
      </c>
      <c r="U4" s="218" t="s">
        <v>40</v>
      </c>
      <c r="V4" s="37" t="s">
        <v>42</v>
      </c>
      <c r="W4" s="219" t="s">
        <v>39</v>
      </c>
      <c r="X4" s="44" t="s">
        <v>20</v>
      </c>
      <c r="Y4" s="45" t="s">
        <v>49</v>
      </c>
      <c r="Z4" s="375" t="s">
        <v>2</v>
      </c>
      <c r="AA4" s="376"/>
      <c r="AB4" s="377"/>
      <c r="AC4" s="45" t="s">
        <v>172</v>
      </c>
      <c r="AD4" s="220" t="s">
        <v>173</v>
      </c>
      <c r="AE4" s="45" t="s">
        <v>172</v>
      </c>
    </row>
    <row r="5" spans="1:32" ht="16.5" thickBot="1" x14ac:dyDescent="0.3">
      <c r="A5" s="47"/>
      <c r="B5" s="48"/>
      <c r="C5" s="49" t="s">
        <v>50</v>
      </c>
      <c r="D5" s="49" t="s">
        <v>50</v>
      </c>
      <c r="E5" s="53"/>
      <c r="F5" s="49" t="s">
        <v>50</v>
      </c>
      <c r="G5" s="51" t="s">
        <v>50</v>
      </c>
      <c r="H5" s="50"/>
      <c r="I5" s="49" t="s">
        <v>53</v>
      </c>
      <c r="J5" s="51" t="s">
        <v>53</v>
      </c>
      <c r="K5" s="54"/>
      <c r="L5" s="49" t="s">
        <v>53</v>
      </c>
      <c r="M5" s="51" t="s">
        <v>53</v>
      </c>
      <c r="N5" s="54"/>
      <c r="O5" s="49" t="s">
        <v>53</v>
      </c>
      <c r="P5" s="51" t="s">
        <v>53</v>
      </c>
      <c r="Q5" s="54"/>
      <c r="R5" s="49" t="s">
        <v>195</v>
      </c>
      <c r="S5" s="51" t="s">
        <v>53</v>
      </c>
      <c r="T5" s="54"/>
      <c r="U5" s="49" t="s">
        <v>53</v>
      </c>
      <c r="V5" s="51" t="s">
        <v>53</v>
      </c>
      <c r="W5" s="54"/>
      <c r="X5" s="264" t="s">
        <v>50</v>
      </c>
      <c r="Y5" s="265" t="s">
        <v>50</v>
      </c>
      <c r="Z5" s="265" t="s">
        <v>177</v>
      </c>
      <c r="AA5" s="265" t="s">
        <v>53</v>
      </c>
      <c r="AB5" s="265" t="s">
        <v>185</v>
      </c>
      <c r="AC5" s="265" t="s">
        <v>174</v>
      </c>
      <c r="AD5" s="266" t="s">
        <v>183</v>
      </c>
      <c r="AE5" s="215" t="s">
        <v>174</v>
      </c>
    </row>
    <row r="6" spans="1:32" ht="15.75" x14ac:dyDescent="0.25">
      <c r="A6" s="389" t="s">
        <v>278</v>
      </c>
      <c r="B6" s="390"/>
      <c r="C6" s="186">
        <f>SUM(C7:C15)</f>
        <v>363806.66666666663</v>
      </c>
      <c r="D6" s="186">
        <f>SUM(D7:D15)</f>
        <v>355352</v>
      </c>
      <c r="E6" s="187">
        <f t="shared" ref="E6:E11" si="0">ROUND(D6/C6*100,1)</f>
        <v>97.7</v>
      </c>
      <c r="F6" s="186">
        <f>SUM(F7:F15)</f>
        <v>78833.333333333343</v>
      </c>
      <c r="G6" s="186">
        <f>SUM(G7:G15)</f>
        <v>70912</v>
      </c>
      <c r="H6" s="188">
        <f>ROUND(G6/F6*100,1)</f>
        <v>90</v>
      </c>
      <c r="I6" s="186">
        <f>SUM(I7:I15)</f>
        <v>2750</v>
      </c>
      <c r="J6" s="186">
        <f>SUM(J7:J15)</f>
        <v>1382</v>
      </c>
      <c r="K6" s="188">
        <f>ROUND(J6/I6*100,1)</f>
        <v>50.3</v>
      </c>
      <c r="L6" s="186">
        <f>SUM(L7:L15)</f>
        <v>561274.99999999988</v>
      </c>
      <c r="M6" s="186">
        <f>SUM(M7:M15)</f>
        <v>568734.85100000002</v>
      </c>
      <c r="N6" s="188">
        <f t="shared" ref="N6:N12" si="1">ROUND(M6/L6*100,1)</f>
        <v>101.3</v>
      </c>
      <c r="O6" s="186">
        <f>SUM(O7:O15)</f>
        <v>82500</v>
      </c>
      <c r="P6" s="186">
        <f>SUM(P7:P15)</f>
        <v>48908</v>
      </c>
      <c r="Q6" s="188">
        <f>ROUND(P6/O6*100,1)</f>
        <v>59.3</v>
      </c>
      <c r="R6" s="186">
        <f>SUM(R7:R15)</f>
        <v>0</v>
      </c>
      <c r="S6" s="186">
        <f>SUM(S7:S15)</f>
        <v>0</v>
      </c>
      <c r="T6" s="188"/>
      <c r="U6" s="186">
        <f>SUM(U7:U15)</f>
        <v>0</v>
      </c>
      <c r="V6" s="186">
        <f>SUM(V7:V15)</f>
        <v>0</v>
      </c>
      <c r="W6" s="188"/>
      <c r="X6" s="216">
        <f>SUM(X7:X15)</f>
        <v>396880</v>
      </c>
      <c r="Y6" s="216">
        <f t="shared" ref="Y6:AD6" si="2">SUM(Y7:Y15)</f>
        <v>86000</v>
      </c>
      <c r="Z6" s="216">
        <f t="shared" si="2"/>
        <v>3000</v>
      </c>
      <c r="AA6" s="216">
        <f t="shared" si="2"/>
        <v>612300</v>
      </c>
      <c r="AB6" s="255">
        <f t="shared" si="2"/>
        <v>90000</v>
      </c>
      <c r="AC6" s="354">
        <f t="shared" si="2"/>
        <v>0</v>
      </c>
      <c r="AD6" s="216">
        <f t="shared" si="2"/>
        <v>0</v>
      </c>
      <c r="AE6" s="186">
        <f>SUM(AE7:AE15)</f>
        <v>0</v>
      </c>
      <c r="AF6" s="186">
        <f>SUM(AF7:AF15)</f>
        <v>0</v>
      </c>
    </row>
    <row r="7" spans="1:32" ht="15" x14ac:dyDescent="0.2">
      <c r="A7" s="66">
        <v>1</v>
      </c>
      <c r="B7" s="141" t="s">
        <v>281</v>
      </c>
      <c r="C7" s="189">
        <f>X7/12*11</f>
        <v>177833.33333333331</v>
      </c>
      <c r="D7" s="189">
        <f>кмс!D7+МАКС!D7+сол!D7+иногор!D7</f>
        <v>177099</v>
      </c>
      <c r="E7" s="190">
        <f t="shared" si="0"/>
        <v>99.6</v>
      </c>
      <c r="F7" s="189">
        <f>Y7/12*11</f>
        <v>0</v>
      </c>
      <c r="G7" s="189">
        <f>кмс!G7+МАКС!G7+сол!G7+иногор!G7</f>
        <v>0</v>
      </c>
      <c r="H7" s="191"/>
      <c r="I7" s="189">
        <f>Z7/12*11</f>
        <v>0</v>
      </c>
      <c r="J7" s="189">
        <f>кмс!J7+МАКС!J7+сол!J7+иногор!J7</f>
        <v>0</v>
      </c>
      <c r="K7" s="191"/>
      <c r="L7" s="189">
        <f>AA7/12*11</f>
        <v>82500</v>
      </c>
      <c r="M7" s="262">
        <f>кмс!M7+МАКС!M7+сол!M7+иногор!M7</f>
        <v>76135.539999999994</v>
      </c>
      <c r="N7" s="191">
        <f t="shared" si="1"/>
        <v>92.3</v>
      </c>
      <c r="O7" s="189">
        <f>AB7/12*11</f>
        <v>0</v>
      </c>
      <c r="P7" s="189">
        <f>кмс!P7+МАКС!P7+сол!P7+иногор!P7</f>
        <v>0</v>
      </c>
      <c r="Q7" s="191"/>
      <c r="R7" s="189">
        <f>AC7/12*11</f>
        <v>0</v>
      </c>
      <c r="S7" s="189">
        <f>кмс!S7+МАКС!S7+сол!S7+иногор!S7+AE7</f>
        <v>0</v>
      </c>
      <c r="T7" s="191"/>
      <c r="U7" s="189">
        <f>AD7/12*11</f>
        <v>0</v>
      </c>
      <c r="V7" s="189"/>
      <c r="W7" s="191"/>
      <c r="X7" s="297">
        <f>кмс!Y7+МАКС!Y7+сол!Y7</f>
        <v>194000</v>
      </c>
      <c r="Y7" s="297">
        <f>кмс!AB7+МАКС!AB7+сол!AB7</f>
        <v>0</v>
      </c>
      <c r="Z7" s="297">
        <f>кмс!AE7+МАКС!AE7+сол!AE7</f>
        <v>0</v>
      </c>
      <c r="AA7" s="297">
        <f>кмс!AH7+МАКС!AH7+сол!AH7</f>
        <v>90000</v>
      </c>
      <c r="AB7" s="297">
        <f>кмс!AK7+МАКС!AK7+сол!AK7</f>
        <v>0</v>
      </c>
      <c r="AC7" s="294">
        <f>кмс!AN7+МАКС!AN7+сол!AN7</f>
        <v>0</v>
      </c>
      <c r="AD7" s="297">
        <f>кмс!AQ7+МАКС!AQ7+сол!AQ7</f>
        <v>0</v>
      </c>
      <c r="AE7" s="189">
        <f>[3]ОБЛАСТ!$AG$124</f>
        <v>0</v>
      </c>
    </row>
    <row r="8" spans="1:32" ht="15" x14ac:dyDescent="0.2">
      <c r="A8" s="66">
        <v>2</v>
      </c>
      <c r="B8" s="141" t="s">
        <v>223</v>
      </c>
      <c r="C8" s="189">
        <f t="shared" ref="C8:C15" si="3">X8/12*11</f>
        <v>43890</v>
      </c>
      <c r="D8" s="189">
        <f>кмс!D8+МАКС!D8+сол!D8+иногор!D8</f>
        <v>43290</v>
      </c>
      <c r="E8" s="190">
        <f t="shared" si="0"/>
        <v>98.6</v>
      </c>
      <c r="F8" s="189">
        <f t="shared" ref="F8:F15" si="4">Y8/12*11</f>
        <v>8635</v>
      </c>
      <c r="G8" s="189">
        <f>кмс!G8+МАКС!G8+сол!G8+иногор!G8</f>
        <v>8574</v>
      </c>
      <c r="H8" s="191">
        <f>ROUND(G8/F8*100,1)</f>
        <v>99.3</v>
      </c>
      <c r="I8" s="189">
        <f t="shared" ref="I8:I15" si="5">Z8/12*11</f>
        <v>0</v>
      </c>
      <c r="J8" s="189">
        <f>кмс!J8+МАКС!J8+сол!J8+иногор!J8</f>
        <v>0</v>
      </c>
      <c r="K8" s="191"/>
      <c r="L8" s="189">
        <f t="shared" ref="L8:L15" si="6">AA8/12*11</f>
        <v>56191.666666666664</v>
      </c>
      <c r="M8" s="262">
        <f>кмс!M8+МАКС!M8+сол!M8+иногор!M8</f>
        <v>59018.170000000006</v>
      </c>
      <c r="N8" s="191">
        <f t="shared" si="1"/>
        <v>105</v>
      </c>
      <c r="O8" s="189">
        <f t="shared" ref="O8:O15" si="7">AB8/12*11</f>
        <v>11000</v>
      </c>
      <c r="P8" s="189">
        <f>кмс!P8+МАКС!P8+сол!P8+иногор!P8</f>
        <v>8914</v>
      </c>
      <c r="Q8" s="191">
        <f>ROUND(P8/O8*100,1)</f>
        <v>81</v>
      </c>
      <c r="R8" s="189">
        <f t="shared" ref="R8:R15" si="8">AC8/12*11</f>
        <v>0</v>
      </c>
      <c r="S8" s="189">
        <f>кмс!S8+МАКС!S8+сол!S8+иногор!S8+AE8</f>
        <v>0</v>
      </c>
      <c r="T8" s="191"/>
      <c r="U8" s="189">
        <f t="shared" ref="U8:U15" si="9">AD8/12*11</f>
        <v>0</v>
      </c>
      <c r="V8" s="189"/>
      <c r="W8" s="191"/>
      <c r="X8" s="297">
        <v>47880</v>
      </c>
      <c r="Y8" s="297">
        <v>9420</v>
      </c>
      <c r="Z8" s="297">
        <f>кмс!AE8+МАКС!AE8+сол!AE8</f>
        <v>0</v>
      </c>
      <c r="AA8" s="297">
        <f>кмс!AH8+МАКС!AH8+сол!AH8</f>
        <v>61300</v>
      </c>
      <c r="AB8" s="297">
        <f>кмс!AK8+МАКС!AK8+сол!AK8</f>
        <v>12000</v>
      </c>
      <c r="AC8" s="294">
        <f>кмс!AN8+МАКС!AN8+сол!AN8</f>
        <v>0</v>
      </c>
      <c r="AD8" s="297">
        <f>кмс!AQ8+МАКС!AQ8+сол!AQ8</f>
        <v>0</v>
      </c>
      <c r="AE8" s="189">
        <f>[2]госп!$AG$124</f>
        <v>0</v>
      </c>
    </row>
    <row r="9" spans="1:32" ht="15" x14ac:dyDescent="0.2">
      <c r="A9" s="66">
        <v>3</v>
      </c>
      <c r="B9" s="141" t="s">
        <v>222</v>
      </c>
      <c r="C9" s="189">
        <f t="shared" si="3"/>
        <v>34833.333333333328</v>
      </c>
      <c r="D9" s="189">
        <f>кмс!D9+МАКС!D9+сол!D9+иногор!D9</f>
        <v>32982</v>
      </c>
      <c r="E9" s="190">
        <f t="shared" si="0"/>
        <v>94.7</v>
      </c>
      <c r="F9" s="189">
        <f t="shared" si="4"/>
        <v>18333.333333333336</v>
      </c>
      <c r="G9" s="189">
        <f>кмс!G9+МАКС!G9+сол!G9+иногор!G9</f>
        <v>16357</v>
      </c>
      <c r="H9" s="191">
        <f>ROUND(G9/F9*100,1)</f>
        <v>89.2</v>
      </c>
      <c r="I9" s="189">
        <f t="shared" si="5"/>
        <v>0</v>
      </c>
      <c r="J9" s="189">
        <f>кмс!J9+МАКС!J9+сол!J9+иногор!J9</f>
        <v>0</v>
      </c>
      <c r="K9" s="191"/>
      <c r="L9" s="189">
        <f t="shared" si="6"/>
        <v>27500</v>
      </c>
      <c r="M9" s="262">
        <f>кмс!M9+МАКС!M9+сол!M9+иногор!M9</f>
        <v>25680</v>
      </c>
      <c r="N9" s="191">
        <f t="shared" si="1"/>
        <v>93.4</v>
      </c>
      <c r="O9" s="189">
        <f t="shared" si="7"/>
        <v>2750</v>
      </c>
      <c r="P9" s="189">
        <f>кмс!P9+МАКС!P9+сол!P9+иногор!P9</f>
        <v>1137</v>
      </c>
      <c r="Q9" s="191">
        <f>ROUND(P9/O9*100,1)</f>
        <v>41.3</v>
      </c>
      <c r="R9" s="189">
        <f t="shared" si="8"/>
        <v>0</v>
      </c>
      <c r="S9" s="189">
        <f>кмс!S9+МАКС!S9+сол!S9+иногор!S9+AE9</f>
        <v>0</v>
      </c>
      <c r="T9" s="191"/>
      <c r="U9" s="189">
        <f t="shared" si="9"/>
        <v>0</v>
      </c>
      <c r="V9" s="189"/>
      <c r="W9" s="191"/>
      <c r="X9" s="297">
        <f>кмс!Y9+МАКС!Y9+сол!Y9</f>
        <v>38000</v>
      </c>
      <c r="Y9" s="297">
        <f>кмс!AB9+МАКС!AB9+сол!AB9</f>
        <v>20000</v>
      </c>
      <c r="Z9" s="297">
        <f>кмс!AE9+МАКС!AE9+сол!AE9</f>
        <v>0</v>
      </c>
      <c r="AA9" s="297">
        <f>кмс!AH9+МАКС!AH9+сол!AH9</f>
        <v>30000</v>
      </c>
      <c r="AB9" s="297">
        <f>кмс!AK9+МАКС!AK9+сол!AK9</f>
        <v>3000</v>
      </c>
      <c r="AC9" s="294">
        <f>кмс!AN9+МАКС!AN9+сол!AN9</f>
        <v>0</v>
      </c>
      <c r="AD9" s="297">
        <f>кмс!AQ9+МАКС!AQ9+сол!AQ9</f>
        <v>0</v>
      </c>
      <c r="AE9" s="189">
        <f>[3]КАРД!$AG$124</f>
        <v>0</v>
      </c>
    </row>
    <row r="10" spans="1:32" ht="15" x14ac:dyDescent="0.2">
      <c r="A10" s="66">
        <v>4</v>
      </c>
      <c r="B10" s="205" t="s">
        <v>221</v>
      </c>
      <c r="C10" s="189">
        <f t="shared" si="3"/>
        <v>8250</v>
      </c>
      <c r="D10" s="189">
        <f>кмс!D10+МАКС!D10+сол!D10+иногор!D10</f>
        <v>6646</v>
      </c>
      <c r="E10" s="190">
        <f t="shared" si="0"/>
        <v>80.599999999999994</v>
      </c>
      <c r="F10" s="189">
        <f t="shared" si="4"/>
        <v>9166.6666666666679</v>
      </c>
      <c r="G10" s="189">
        <f>кмс!G10+МАКС!G10+сол!G10+иногор!G10</f>
        <v>8118</v>
      </c>
      <c r="H10" s="191">
        <f>ROUND(G10/F10*100,1)</f>
        <v>88.6</v>
      </c>
      <c r="I10" s="189">
        <f t="shared" si="5"/>
        <v>0</v>
      </c>
      <c r="J10" s="189">
        <f>кмс!J10+МАКС!J10+сол!J10+иногор!J10</f>
        <v>0</v>
      </c>
      <c r="K10" s="191"/>
      <c r="L10" s="189">
        <f t="shared" si="6"/>
        <v>66916.666666666657</v>
      </c>
      <c r="M10" s="262">
        <f>кмс!M10+МАКС!M10+сол!M10+иногор!M10</f>
        <v>62897</v>
      </c>
      <c r="N10" s="191">
        <f t="shared" si="1"/>
        <v>94</v>
      </c>
      <c r="O10" s="189">
        <f t="shared" si="7"/>
        <v>11916.666666666666</v>
      </c>
      <c r="P10" s="189">
        <f>кмс!P10+МАКС!P10+сол!P10+иногор!P10</f>
        <v>8962</v>
      </c>
      <c r="Q10" s="191">
        <f>ROUND(P10/O10*100,1)</f>
        <v>75.2</v>
      </c>
      <c r="R10" s="189">
        <f t="shared" si="8"/>
        <v>0</v>
      </c>
      <c r="S10" s="189">
        <f>кмс!S10+МАКС!S10+сол!S10+иногор!S10+AE10</f>
        <v>0</v>
      </c>
      <c r="T10" s="191"/>
      <c r="U10" s="189">
        <f t="shared" si="9"/>
        <v>0</v>
      </c>
      <c r="V10" s="189"/>
      <c r="W10" s="191"/>
      <c r="X10" s="297">
        <f>кмс!Y10+МАКС!Y10+сол!Y10</f>
        <v>9000</v>
      </c>
      <c r="Y10" s="297">
        <f>кмс!AB10+МАКС!AB10+сол!AB10</f>
        <v>10000</v>
      </c>
      <c r="Z10" s="297">
        <f>кмс!AE10+МАКС!AE10+сол!AE10</f>
        <v>0</v>
      </c>
      <c r="AA10" s="297">
        <f>кмс!AH10+МАКС!AH10+сол!AH10</f>
        <v>73000</v>
      </c>
      <c r="AB10" s="297">
        <f>кмс!AK10+МАКС!AK10+сол!AK10</f>
        <v>13000</v>
      </c>
      <c r="AC10" s="294">
        <f>кмс!AN10+МАКС!AN10+сол!AN10</f>
        <v>0</v>
      </c>
      <c r="AD10" s="297">
        <f>кмс!AQ10+МАКС!AQ10+сол!AQ10</f>
        <v>0</v>
      </c>
      <c r="AE10" s="189">
        <f>[3]КОЖВЕН!$AG$124</f>
        <v>0</v>
      </c>
    </row>
    <row r="11" spans="1:32" ht="15" x14ac:dyDescent="0.2">
      <c r="A11" s="66">
        <v>5</v>
      </c>
      <c r="B11" s="141" t="s">
        <v>220</v>
      </c>
      <c r="C11" s="189">
        <f t="shared" si="3"/>
        <v>40333.333333333328</v>
      </c>
      <c r="D11" s="189">
        <f>кмс!D11+МАКС!D11+сол!D11+иногор!D11</f>
        <v>38036</v>
      </c>
      <c r="E11" s="190">
        <f t="shared" si="0"/>
        <v>94.3</v>
      </c>
      <c r="F11" s="189">
        <f t="shared" si="4"/>
        <v>18333.333333333336</v>
      </c>
      <c r="G11" s="189">
        <f>кмс!G11+МАКС!G11+сол!G11+иногор!G11</f>
        <v>14946</v>
      </c>
      <c r="H11" s="191">
        <f>ROUND(G11/F11*100,1)</f>
        <v>81.5</v>
      </c>
      <c r="I11" s="189">
        <f t="shared" si="5"/>
        <v>0</v>
      </c>
      <c r="J11" s="189">
        <f>кмс!J11+МАКС!J11+сол!J11+иногор!J11</f>
        <v>0</v>
      </c>
      <c r="K11" s="191"/>
      <c r="L11" s="189">
        <f t="shared" si="6"/>
        <v>45833.333333333336</v>
      </c>
      <c r="M11" s="262">
        <f>кмс!M11+МАКС!M11+сол!M11+иногор!M11</f>
        <v>42838</v>
      </c>
      <c r="N11" s="191">
        <f t="shared" si="1"/>
        <v>93.5</v>
      </c>
      <c r="O11" s="189">
        <f t="shared" si="7"/>
        <v>916.66666666666663</v>
      </c>
      <c r="P11" s="189">
        <f>кмс!P11+МАКС!P11+сол!P11+иногор!P11</f>
        <v>208</v>
      </c>
      <c r="Q11" s="191">
        <f>ROUND(P11/O11*100,1)</f>
        <v>22.7</v>
      </c>
      <c r="R11" s="189">
        <f t="shared" si="8"/>
        <v>0</v>
      </c>
      <c r="S11" s="189">
        <f>кмс!S11+МАКС!S11+сол!S11+иногор!S11+AE11</f>
        <v>0</v>
      </c>
      <c r="T11" s="191"/>
      <c r="U11" s="189">
        <f t="shared" si="9"/>
        <v>0</v>
      </c>
      <c r="V11" s="189"/>
      <c r="W11" s="191"/>
      <c r="X11" s="297">
        <f>кмс!Y11+МАКС!Y11+сол!Y11</f>
        <v>44000</v>
      </c>
      <c r="Y11" s="297">
        <f>кмс!AB11+МАКС!AB11+сол!AB11</f>
        <v>20000</v>
      </c>
      <c r="Z11" s="297">
        <f>кмс!AE11+МАКС!AE11+сол!AE11</f>
        <v>0</v>
      </c>
      <c r="AA11" s="297">
        <f>кмс!AH11+МАКС!AH11+сол!AH11</f>
        <v>50000</v>
      </c>
      <c r="AB11" s="297">
        <f>кмс!AK11+МАКС!AK11+сол!AK11</f>
        <v>1000</v>
      </c>
      <c r="AC11" s="294">
        <f>кмс!AN11+МАКС!AN11+сол!AN11</f>
        <v>0</v>
      </c>
      <c r="AD11" s="297">
        <f>кмс!AQ11+МАКС!AQ11+сол!AQ11</f>
        <v>0</v>
      </c>
      <c r="AE11" s="189">
        <f>[3]ОНКО!$AG$124</f>
        <v>0</v>
      </c>
    </row>
    <row r="12" spans="1:32" ht="15" x14ac:dyDescent="0.2">
      <c r="A12" s="66">
        <v>6</v>
      </c>
      <c r="B12" s="141" t="s">
        <v>265</v>
      </c>
      <c r="C12" s="189">
        <f t="shared" si="3"/>
        <v>0</v>
      </c>
      <c r="D12" s="189">
        <f>кмс!D12+МАКС!D12+сол!D12+иногор!D12</f>
        <v>0</v>
      </c>
      <c r="E12" s="190"/>
      <c r="F12" s="189">
        <f t="shared" si="4"/>
        <v>24365</v>
      </c>
      <c r="G12" s="189">
        <f>кмс!G12+МАКС!G12+сол!G12+иногор!G12</f>
        <v>22917</v>
      </c>
      <c r="H12" s="191">
        <f>ROUND(G12/F12*100,1)</f>
        <v>94.1</v>
      </c>
      <c r="I12" s="189">
        <f t="shared" si="5"/>
        <v>0</v>
      </c>
      <c r="J12" s="189">
        <f>кмс!J12+МАКС!J12+сол!J12+иногор!J12</f>
        <v>0</v>
      </c>
      <c r="K12" s="191"/>
      <c r="L12" s="189">
        <f t="shared" si="6"/>
        <v>4583.3333333333339</v>
      </c>
      <c r="M12" s="262">
        <f>кмс!M12+МАКС!M12+сол!M12+иногор!M12</f>
        <v>3268</v>
      </c>
      <c r="N12" s="191">
        <f t="shared" si="1"/>
        <v>71.3</v>
      </c>
      <c r="O12" s="189">
        <f t="shared" si="7"/>
        <v>0</v>
      </c>
      <c r="P12" s="189">
        <f>кмс!P12+МАКС!P12+сол!P12+иногор!P12</f>
        <v>0</v>
      </c>
      <c r="Q12" s="191"/>
      <c r="R12" s="189">
        <f t="shared" si="8"/>
        <v>0</v>
      </c>
      <c r="S12" s="189">
        <f>кмс!S12+МАКС!S12+сол!S12+иногор!S12+AE12</f>
        <v>0</v>
      </c>
      <c r="T12" s="191"/>
      <c r="U12" s="189">
        <f t="shared" si="9"/>
        <v>0</v>
      </c>
      <c r="V12" s="189"/>
      <c r="W12" s="191"/>
      <c r="X12" s="297">
        <f>кмс!Y12+МАКС!Y12+сол!Y12</f>
        <v>0</v>
      </c>
      <c r="Y12" s="297">
        <v>26580</v>
      </c>
      <c r="Z12" s="297">
        <f>кмс!AE12+МАКС!AE12+сол!AE12</f>
        <v>0</v>
      </c>
      <c r="AA12" s="297">
        <f>кмс!AH12+МАКС!AH12+сол!AH12</f>
        <v>5000</v>
      </c>
      <c r="AB12" s="297">
        <f>кмс!AK12+МАКС!AK12+сол!AK12</f>
        <v>0</v>
      </c>
      <c r="AC12" s="294">
        <f>кмс!AN12+МАКС!AN12+сол!AN12</f>
        <v>0</v>
      </c>
      <c r="AD12" s="297">
        <f>кмс!AQ12+МАКС!AQ12+сол!AQ12</f>
        <v>0</v>
      </c>
      <c r="AE12" s="189">
        <f>[2]цвд!$AG$124</f>
        <v>0</v>
      </c>
    </row>
    <row r="13" spans="1:32" ht="15" x14ac:dyDescent="0.2">
      <c r="A13" s="66">
        <v>7</v>
      </c>
      <c r="B13" s="141" t="s">
        <v>219</v>
      </c>
      <c r="C13" s="189">
        <f t="shared" si="3"/>
        <v>0</v>
      </c>
      <c r="D13" s="189">
        <f>кмс!D13+МАКС!D13+сол!D13+иногор!D13</f>
        <v>0</v>
      </c>
      <c r="E13" s="190"/>
      <c r="F13" s="189">
        <f t="shared" si="4"/>
        <v>0</v>
      </c>
      <c r="G13" s="189">
        <f>кмс!G13+МАКС!G13+сол!G13+иногор!G13</f>
        <v>0</v>
      </c>
      <c r="H13" s="191"/>
      <c r="I13" s="189">
        <f t="shared" si="5"/>
        <v>0</v>
      </c>
      <c r="J13" s="189">
        <f>кмс!J13+МАКС!J13+сол!J13+иногор!J13</f>
        <v>0</v>
      </c>
      <c r="K13" s="191"/>
      <c r="L13" s="189">
        <f t="shared" si="6"/>
        <v>187000</v>
      </c>
      <c r="M13" s="262">
        <f>кмс!M13+МАКС!M13+сол!M13+иногор!M13</f>
        <v>217965.14100000003</v>
      </c>
      <c r="N13" s="191">
        <f t="shared" ref="N13:N42" si="10">ROUND(M13/L13*100,1)</f>
        <v>116.6</v>
      </c>
      <c r="O13" s="189">
        <f t="shared" si="7"/>
        <v>39416.666666666672</v>
      </c>
      <c r="P13" s="189">
        <f>кмс!P13+МАКС!P13+сол!P13+иногор!P13</f>
        <v>16705</v>
      </c>
      <c r="Q13" s="191">
        <f>ROUND(P13/O13*100,1)</f>
        <v>42.4</v>
      </c>
      <c r="R13" s="189">
        <f t="shared" si="8"/>
        <v>0</v>
      </c>
      <c r="S13" s="189">
        <f>кмс!S13+МАКС!S13+сол!S13+иногор!S13+AE13</f>
        <v>0</v>
      </c>
      <c r="T13" s="191"/>
      <c r="U13" s="189">
        <f t="shared" si="9"/>
        <v>0</v>
      </c>
      <c r="V13" s="189"/>
      <c r="W13" s="191"/>
      <c r="X13" s="297">
        <f>кмс!Y13+МАКС!Y13+сол!Y13</f>
        <v>0</v>
      </c>
      <c r="Y13" s="297">
        <f>кмс!AB13+МАКС!AB13+сол!AB13</f>
        <v>0</v>
      </c>
      <c r="Z13" s="297">
        <f>кмс!AE13+МАКС!AE13+сол!AE13</f>
        <v>0</v>
      </c>
      <c r="AA13" s="297">
        <f>кмс!AH13+МАКС!AH13+сол!AH13</f>
        <v>204000</v>
      </c>
      <c r="AB13" s="297">
        <f>кмс!AK13+МАКС!AK13+сол!AK13</f>
        <v>43000</v>
      </c>
      <c r="AC13" s="294">
        <f>кмс!AN13+МАКС!AN13+сол!AN13</f>
        <v>0</v>
      </c>
      <c r="AD13" s="297">
        <f>кмс!AQ13+МАКС!AQ13+сол!AQ13</f>
        <v>0</v>
      </c>
      <c r="AE13" s="189">
        <f>[2]обл.ст!$AG$124</f>
        <v>0</v>
      </c>
    </row>
    <row r="14" spans="1:32" ht="15" x14ac:dyDescent="0.2">
      <c r="A14" s="274">
        <v>8</v>
      </c>
      <c r="B14" s="67" t="s">
        <v>211</v>
      </c>
      <c r="C14" s="189">
        <f t="shared" si="3"/>
        <v>58666.666666666664</v>
      </c>
      <c r="D14" s="189">
        <f>кмс!D14+МАКС!D14+сол!D14+иногор!D14</f>
        <v>57299</v>
      </c>
      <c r="E14" s="190">
        <f>ROUND(D14/C14*100,1)</f>
        <v>97.7</v>
      </c>
      <c r="F14" s="189">
        <f t="shared" si="4"/>
        <v>0</v>
      </c>
      <c r="G14" s="189">
        <f>кмс!G14+МАКС!G14+сол!G14+иногор!G14</f>
        <v>0</v>
      </c>
      <c r="H14" s="191"/>
      <c r="I14" s="189">
        <f t="shared" si="5"/>
        <v>2750</v>
      </c>
      <c r="J14" s="189">
        <f>кмс!J14+МАКС!J14+сол!J14+иногор!J14</f>
        <v>1382</v>
      </c>
      <c r="K14" s="191">
        <f>ROUND(J14/I14*100,1)</f>
        <v>50.3</v>
      </c>
      <c r="L14" s="189">
        <f t="shared" si="6"/>
        <v>87083.333333333343</v>
      </c>
      <c r="M14" s="262">
        <f>кмс!M14+МАКС!M14+сол!M14+иногор!M14</f>
        <v>77736</v>
      </c>
      <c r="N14" s="191">
        <f t="shared" si="10"/>
        <v>89.3</v>
      </c>
      <c r="O14" s="189">
        <f t="shared" si="7"/>
        <v>16500</v>
      </c>
      <c r="P14" s="189">
        <f>кмс!P14+МАКС!P14+сол!P14+иногор!P14</f>
        <v>12982</v>
      </c>
      <c r="Q14" s="191">
        <f>ROUND(P14/O14*100,1)</f>
        <v>78.7</v>
      </c>
      <c r="R14" s="189">
        <f t="shared" si="8"/>
        <v>0</v>
      </c>
      <c r="S14" s="189">
        <f>кмс!S14+МАКС!S14+сол!S14+иногор!S14+AE14</f>
        <v>0</v>
      </c>
      <c r="T14" s="191"/>
      <c r="U14" s="189">
        <f t="shared" si="9"/>
        <v>0</v>
      </c>
      <c r="V14" s="189"/>
      <c r="W14" s="191"/>
      <c r="X14" s="297">
        <f>кмс!Y14+МАКС!Y14+сол!Y14</f>
        <v>64000</v>
      </c>
      <c r="Y14" s="297">
        <f>кмс!AB14+МАКС!AB14+сол!AB14</f>
        <v>0</v>
      </c>
      <c r="Z14" s="297">
        <f>кмс!AE14+МАКС!AE14+сол!AE14</f>
        <v>3000</v>
      </c>
      <c r="AA14" s="297">
        <f>кмс!AH14+МАКС!AH14+сол!AH14</f>
        <v>95000</v>
      </c>
      <c r="AB14" s="297">
        <f>кмс!AK14+МАКС!AK14+сол!AK14</f>
        <v>18000</v>
      </c>
      <c r="AC14" s="294">
        <f>кмс!AN14+МАКС!AN14+сол!AN14</f>
        <v>0</v>
      </c>
      <c r="AD14" s="297">
        <f>кмс!AQ14+МАКС!AQ14+сол!AQ14</f>
        <v>0</v>
      </c>
      <c r="AE14" s="189">
        <f>[4]детск!$AG$124</f>
        <v>0</v>
      </c>
    </row>
    <row r="15" spans="1:32" ht="15" x14ac:dyDescent="0.2">
      <c r="A15" s="274">
        <v>9</v>
      </c>
      <c r="B15" s="67" t="s">
        <v>251</v>
      </c>
      <c r="C15" s="189">
        <f t="shared" si="3"/>
        <v>0</v>
      </c>
      <c r="D15" s="189">
        <f>кмс!D15+МАКС!D15+сол!D15+иногор!D15</f>
        <v>0</v>
      </c>
      <c r="E15" s="190"/>
      <c r="F15" s="189">
        <f t="shared" si="4"/>
        <v>0</v>
      </c>
      <c r="G15" s="189">
        <f>кмс!G15+МАКС!G15+сол!G15+иногор!G15</f>
        <v>0</v>
      </c>
      <c r="H15" s="191"/>
      <c r="I15" s="189">
        <f t="shared" si="5"/>
        <v>0</v>
      </c>
      <c r="J15" s="189">
        <f>кмс!J15+МАКС!J15+сол!J15+иногор!J15</f>
        <v>0</v>
      </c>
      <c r="K15" s="191"/>
      <c r="L15" s="189">
        <f t="shared" si="6"/>
        <v>3666.6666666666665</v>
      </c>
      <c r="M15" s="262">
        <f>кмс!M15+МАКС!M15+сол!M15+иногор!M15</f>
        <v>3197</v>
      </c>
      <c r="N15" s="191">
        <f t="shared" si="10"/>
        <v>87.2</v>
      </c>
      <c r="O15" s="189">
        <f t="shared" si="7"/>
        <v>0</v>
      </c>
      <c r="P15" s="189">
        <f>кмс!P15+МАКС!P15+сол!P15+иногор!P15</f>
        <v>0</v>
      </c>
      <c r="Q15" s="191"/>
      <c r="R15" s="189">
        <f t="shared" si="8"/>
        <v>0</v>
      </c>
      <c r="S15" s="189">
        <f>кмс!S15+МАКС!S15+сол!S15+иногор!S15+AE15</f>
        <v>0</v>
      </c>
      <c r="T15" s="191"/>
      <c r="U15" s="189">
        <f t="shared" si="9"/>
        <v>0</v>
      </c>
      <c r="V15" s="189"/>
      <c r="W15" s="191"/>
      <c r="X15" s="297">
        <f>кмс!Y15+МАКС!Y15+сол!Y15</f>
        <v>0</v>
      </c>
      <c r="Y15" s="297">
        <f>кмс!AB15+МАКС!AB15+сол!AB15</f>
        <v>0</v>
      </c>
      <c r="Z15" s="297">
        <f>кмс!AE15+МАКС!AE15+сол!AE15</f>
        <v>0</v>
      </c>
      <c r="AA15" s="297">
        <f>кмс!AH15+МАКС!AH15+сол!AH15</f>
        <v>4000</v>
      </c>
      <c r="AB15" s="297">
        <f>кмс!AK15+МАКС!AK15+сол!AK15</f>
        <v>0</v>
      </c>
      <c r="AC15" s="294">
        <f>кмс!AN15+МАКС!AN15+сол!AN15</f>
        <v>0</v>
      </c>
      <c r="AD15" s="297">
        <f>кмс!AQ15+МАКС!AQ15+сол!AQ15</f>
        <v>0</v>
      </c>
      <c r="AE15" s="189">
        <f>[3]цпс!$AG$124</f>
        <v>0</v>
      </c>
    </row>
    <row r="16" spans="1:32" ht="15.75" x14ac:dyDescent="0.25">
      <c r="A16" s="395" t="s">
        <v>277</v>
      </c>
      <c r="B16" s="396"/>
      <c r="C16" s="244">
        <f>SUM(C17:C25)</f>
        <v>115440.41666666667</v>
      </c>
      <c r="D16" s="244">
        <f>SUM(D17:D25)</f>
        <v>103174</v>
      </c>
      <c r="E16" s="187">
        <f>ROUND(D16/C16*100,1)</f>
        <v>89.4</v>
      </c>
      <c r="F16" s="244">
        <f>SUM(F17:F25)</f>
        <v>47624.5</v>
      </c>
      <c r="G16" s="244">
        <f>SUM(G17:G25)</f>
        <v>36779</v>
      </c>
      <c r="H16" s="188">
        <f>ROUND(G16/F16*100,1)</f>
        <v>77.2</v>
      </c>
      <c r="I16" s="244">
        <f>SUM(I17:I25)</f>
        <v>29393.833333333336</v>
      </c>
      <c r="J16" s="244">
        <f>SUM(J17:J25)</f>
        <v>17300</v>
      </c>
      <c r="K16" s="188">
        <f>ROUND(J16/I16*100,1)</f>
        <v>58.9</v>
      </c>
      <c r="L16" s="244">
        <f>SUM(L17:L25)</f>
        <v>496281.5</v>
      </c>
      <c r="M16" s="244">
        <f>SUM(M17:M25)</f>
        <v>467161.89</v>
      </c>
      <c r="N16" s="193">
        <f t="shared" si="10"/>
        <v>94.1</v>
      </c>
      <c r="O16" s="244">
        <f>SUM(O17:O25)</f>
        <v>121129.25</v>
      </c>
      <c r="P16" s="244">
        <f>SUM(P17:P25)</f>
        <v>98720</v>
      </c>
      <c r="Q16" s="193">
        <f t="shared" ref="Q16:Q42" si="11">ROUND(P16/O16*100,1)</f>
        <v>81.5</v>
      </c>
      <c r="R16" s="244">
        <f>SUM(R17:R25)</f>
        <v>29953.000000000004</v>
      </c>
      <c r="S16" s="244">
        <f>SUM(S17:S25)</f>
        <v>27750</v>
      </c>
      <c r="T16" s="193">
        <f t="shared" ref="T16:T42" si="12">ROUND(S16/R16*100,1)</f>
        <v>92.6</v>
      </c>
      <c r="U16" s="244">
        <f>SUM(U17:U25)</f>
        <v>439.08333333333331</v>
      </c>
      <c r="V16" s="244">
        <f>SUM(V17:V25)</f>
        <v>479</v>
      </c>
      <c r="W16" s="193">
        <f>ROUND(V16/U16*100,1)</f>
        <v>109.1</v>
      </c>
      <c r="X16" s="295">
        <f t="shared" ref="X16:AD16" si="13">SUM(X17:X25)</f>
        <v>125935</v>
      </c>
      <c r="Y16" s="295">
        <f t="shared" si="13"/>
        <v>51954</v>
      </c>
      <c r="Z16" s="295">
        <f t="shared" si="13"/>
        <v>32066</v>
      </c>
      <c r="AA16" s="295">
        <f t="shared" si="13"/>
        <v>541398</v>
      </c>
      <c r="AB16" s="300">
        <f t="shared" si="13"/>
        <v>132141</v>
      </c>
      <c r="AC16" s="355">
        <f t="shared" si="13"/>
        <v>32676</v>
      </c>
      <c r="AD16" s="295">
        <f t="shared" si="13"/>
        <v>479</v>
      </c>
      <c r="AE16" s="192">
        <f>SUM(AE17:AE25)</f>
        <v>1375</v>
      </c>
      <c r="AF16" s="192">
        <f>SUM(AF17:AF25)</f>
        <v>1676</v>
      </c>
    </row>
    <row r="17" spans="1:32" ht="15" x14ac:dyDescent="0.2">
      <c r="A17" s="140">
        <v>10</v>
      </c>
      <c r="B17" s="63" t="s">
        <v>225</v>
      </c>
      <c r="C17" s="189">
        <f t="shared" ref="C17:C25" si="14">X17/12*11</f>
        <v>4583.3333333333339</v>
      </c>
      <c r="D17" s="189">
        <f>кмс!D17+МАКС!D17+сол!D17+иногор!D17</f>
        <v>3160</v>
      </c>
      <c r="E17" s="190">
        <f>ROUND(D17/C17*100,1)</f>
        <v>68.900000000000006</v>
      </c>
      <c r="F17" s="189">
        <f t="shared" ref="F17:F25" si="15">Y17/12*11</f>
        <v>4583.3333333333339</v>
      </c>
      <c r="G17" s="189">
        <f>кмс!G17+МАКС!G17+сол!G17+иногор!G17</f>
        <v>2587</v>
      </c>
      <c r="H17" s="191">
        <f t="shared" ref="H17:H35" si="16">ROUND(G17/F17*100,1)</f>
        <v>56.4</v>
      </c>
      <c r="I17" s="189">
        <f t="shared" ref="I17:I25" si="17">Z17/12*11</f>
        <v>1833.3333333333333</v>
      </c>
      <c r="J17" s="189">
        <f>кмс!J17+МАКС!J17+сол!J17+иногор!J17</f>
        <v>789</v>
      </c>
      <c r="K17" s="191">
        <f t="shared" ref="K17:K41" si="18">ROUND(J17/I17*100,1)</f>
        <v>43</v>
      </c>
      <c r="L17" s="189">
        <f t="shared" ref="L17:L25" si="19">AA17/12*11</f>
        <v>32083.333333333332</v>
      </c>
      <c r="M17" s="189">
        <f>кмс!M17+МАКС!M17+сол!M17+иногор!M17</f>
        <v>27840.099999999995</v>
      </c>
      <c r="N17" s="191">
        <f t="shared" si="10"/>
        <v>86.8</v>
      </c>
      <c r="O17" s="189">
        <f t="shared" ref="O17:O25" si="20">AB17/12*11</f>
        <v>10083.333333333332</v>
      </c>
      <c r="P17" s="189">
        <f>кмс!P17+МАКС!P17+сол!P17+иногор!P17</f>
        <v>7765</v>
      </c>
      <c r="Q17" s="191">
        <f t="shared" si="11"/>
        <v>77</v>
      </c>
      <c r="R17" s="189">
        <f>AC17/12*11</f>
        <v>2192.666666666667</v>
      </c>
      <c r="S17" s="189">
        <f>кмс!S17+МАКС!S17+сол!S17+иногор!S17+AE17</f>
        <v>1773</v>
      </c>
      <c r="T17" s="191">
        <f t="shared" si="12"/>
        <v>80.900000000000006</v>
      </c>
      <c r="U17" s="189">
        <f t="shared" ref="U17:U25" si="21">AD17/12*11</f>
        <v>0</v>
      </c>
      <c r="V17" s="189"/>
      <c r="W17" s="191"/>
      <c r="X17" s="297">
        <f>кмс!Y17+МАКС!Y17+сол!Y17</f>
        <v>5000</v>
      </c>
      <c r="Y17" s="297">
        <f>кмс!AB17+МАКС!AB17+сол!AB17</f>
        <v>5000</v>
      </c>
      <c r="Z17" s="297">
        <f>кмс!AE17+МАКС!AE17+сол!AE17</f>
        <v>2000</v>
      </c>
      <c r="AA17" s="297">
        <f>кмс!AH17+МАКС!AH17+сол!AH17</f>
        <v>35000</v>
      </c>
      <c r="AB17" s="297">
        <f>кмс!AK17+МАКС!AK17+сол!AK17</f>
        <v>11000</v>
      </c>
      <c r="AC17" s="297">
        <f>кмс!AN17+МАКС!AN17+сол!AN17+AF17</f>
        <v>2392</v>
      </c>
      <c r="AD17" s="297">
        <f>кмс!AQ17+МАКС!AQ17+сол!AQ17</f>
        <v>0</v>
      </c>
      <c r="AE17" s="189">
        <f>[2]ант!$AG$124</f>
        <v>75</v>
      </c>
      <c r="AF17">
        <v>92</v>
      </c>
    </row>
    <row r="18" spans="1:32" ht="15" x14ac:dyDescent="0.2">
      <c r="A18" s="66">
        <v>11</v>
      </c>
      <c r="B18" s="67" t="s">
        <v>226</v>
      </c>
      <c r="C18" s="189">
        <f t="shared" si="14"/>
        <v>33000</v>
      </c>
      <c r="D18" s="189">
        <f>кмс!D18+МАКС!D18+сол!D18+иногор!D18</f>
        <v>30961</v>
      </c>
      <c r="E18" s="190">
        <f>ROUND(D18/C18*100,1)</f>
        <v>93.8</v>
      </c>
      <c r="F18" s="189">
        <f t="shared" si="15"/>
        <v>9166.6666666666679</v>
      </c>
      <c r="G18" s="189">
        <f>кмс!G18+МАКС!G18+сол!G18+иногор!G18</f>
        <v>8156</v>
      </c>
      <c r="H18" s="191">
        <f t="shared" si="16"/>
        <v>89</v>
      </c>
      <c r="I18" s="189">
        <f t="shared" si="17"/>
        <v>5500</v>
      </c>
      <c r="J18" s="189">
        <f>кмс!J18+МАКС!J18+сол!J18+иногор!J18</f>
        <v>4058</v>
      </c>
      <c r="K18" s="191">
        <f t="shared" si="18"/>
        <v>73.8</v>
      </c>
      <c r="L18" s="189">
        <f t="shared" si="19"/>
        <v>121916.66666666667</v>
      </c>
      <c r="M18" s="189">
        <f>кмс!M18+МАКС!M18+сол!M18+иногор!M18</f>
        <v>116221.88</v>
      </c>
      <c r="N18" s="191">
        <f t="shared" si="10"/>
        <v>95.3</v>
      </c>
      <c r="O18" s="189">
        <f t="shared" si="20"/>
        <v>22000</v>
      </c>
      <c r="P18" s="189">
        <f>кмс!P18+МАКС!P18+сол!P18+иногор!P18</f>
        <v>18813</v>
      </c>
      <c r="Q18" s="191">
        <f t="shared" si="11"/>
        <v>85.5</v>
      </c>
      <c r="R18" s="189">
        <f t="shared" ref="R18:R25" si="22">AC18/12*11</f>
        <v>11074.25</v>
      </c>
      <c r="S18" s="189">
        <f>кмс!S18+МАКС!S18+сол!S18+иногор!S18+AE18</f>
        <v>11027</v>
      </c>
      <c r="T18" s="191">
        <f t="shared" si="12"/>
        <v>99.6</v>
      </c>
      <c r="U18" s="189">
        <f t="shared" si="21"/>
        <v>0</v>
      </c>
      <c r="V18" s="189"/>
      <c r="W18" s="191"/>
      <c r="X18" s="297">
        <f>кмс!Y18+МАКС!Y18+сол!Y18</f>
        <v>36000</v>
      </c>
      <c r="Y18" s="297">
        <f>кмс!AB18+МАКС!AB18+сол!AB18</f>
        <v>10000</v>
      </c>
      <c r="Z18" s="297">
        <f>кмс!AE18+МАКС!AE18+сол!AE18</f>
        <v>6000</v>
      </c>
      <c r="AA18" s="297">
        <f>кмс!AH18+МАКС!AH18+сол!AH18</f>
        <v>133000</v>
      </c>
      <c r="AB18" s="297">
        <f>кмс!AK18+МАКС!AK18+сол!AK18</f>
        <v>24000</v>
      </c>
      <c r="AC18" s="297">
        <f>кмс!AN18+МАКС!AN18+сол!AN18+AF18</f>
        <v>12081</v>
      </c>
      <c r="AD18" s="297">
        <f>кмс!AQ18+МАКС!AQ18+сол!AQ18</f>
        <v>0</v>
      </c>
      <c r="AE18" s="189">
        <f>[2]буй!$AG$124</f>
        <v>573</v>
      </c>
      <c r="AF18">
        <v>781</v>
      </c>
    </row>
    <row r="19" spans="1:32" ht="15" x14ac:dyDescent="0.2">
      <c r="A19" s="66">
        <v>12</v>
      </c>
      <c r="B19" s="67" t="s">
        <v>227</v>
      </c>
      <c r="C19" s="189">
        <f t="shared" si="14"/>
        <v>0</v>
      </c>
      <c r="D19" s="189">
        <f>кмс!D19+МАКС!D19+сол!D19+иногор!D19</f>
        <v>0</v>
      </c>
      <c r="E19" s="190"/>
      <c r="F19" s="189">
        <f t="shared" si="15"/>
        <v>6416.666666666667</v>
      </c>
      <c r="G19" s="189">
        <f>кмс!G19+МАКС!G19+сол!G19+иногор!G19</f>
        <v>5781</v>
      </c>
      <c r="H19" s="191">
        <f t="shared" si="16"/>
        <v>90.1</v>
      </c>
      <c r="I19" s="189">
        <f t="shared" si="17"/>
        <v>1833.3333333333333</v>
      </c>
      <c r="J19" s="189">
        <f>кмс!J19+МАКС!J19+сол!J19+иногор!J19</f>
        <v>308</v>
      </c>
      <c r="K19" s="191">
        <f t="shared" si="18"/>
        <v>16.8</v>
      </c>
      <c r="L19" s="189">
        <f t="shared" si="19"/>
        <v>37583.333333333328</v>
      </c>
      <c r="M19" s="189">
        <f>кмс!M19+МАКС!M19+сол!M19+иногор!M19</f>
        <v>35904.76</v>
      </c>
      <c r="N19" s="191">
        <f t="shared" si="10"/>
        <v>95.5</v>
      </c>
      <c r="O19" s="189">
        <f t="shared" si="20"/>
        <v>9166.6666666666679</v>
      </c>
      <c r="P19" s="189">
        <f>кмс!P19+МАКС!P19+сол!P19+иногор!P19</f>
        <v>7022</v>
      </c>
      <c r="Q19" s="191">
        <f t="shared" si="11"/>
        <v>76.599999999999994</v>
      </c>
      <c r="R19" s="189">
        <f t="shared" si="22"/>
        <v>0</v>
      </c>
      <c r="S19" s="189">
        <f>кмс!S19+МАКС!S19+сол!S19+иногор!S19+AE19</f>
        <v>0</v>
      </c>
      <c r="T19" s="191"/>
      <c r="U19" s="189">
        <f t="shared" si="21"/>
        <v>0</v>
      </c>
      <c r="V19" s="189"/>
      <c r="W19" s="191"/>
      <c r="X19" s="297">
        <f>кмс!Y19+МАКС!Y19+сол!Y19</f>
        <v>0</v>
      </c>
      <c r="Y19" s="297">
        <f>кмс!AB19+МАКС!AB19+сол!AB19</f>
        <v>7000</v>
      </c>
      <c r="Z19" s="297">
        <f>кмс!AE19+МАКС!AE19+сол!AE19</f>
        <v>2000</v>
      </c>
      <c r="AA19" s="297">
        <f>кмс!AH19+МАКС!AH19+сол!AH19</f>
        <v>41000</v>
      </c>
      <c r="AB19" s="297">
        <f>кмс!AK19+МАКС!AK19+сол!AK19</f>
        <v>10000</v>
      </c>
      <c r="AC19" s="297">
        <f>кмс!AN19+МАКС!AN19+сол!AN19+AF19</f>
        <v>0</v>
      </c>
      <c r="AD19" s="297">
        <f>кмс!AQ19+МАКС!AQ19+сол!AQ19</f>
        <v>0</v>
      </c>
      <c r="AE19" s="189">
        <f>[2]гавр!$AG$124</f>
        <v>0</v>
      </c>
    </row>
    <row r="20" spans="1:32" ht="15" x14ac:dyDescent="0.2">
      <c r="A20" s="66">
        <v>13</v>
      </c>
      <c r="B20" s="67" t="s">
        <v>203</v>
      </c>
      <c r="C20" s="189">
        <f t="shared" si="14"/>
        <v>59583.333333333336</v>
      </c>
      <c r="D20" s="189">
        <f>кмс!D20+МАКС!D20+сол!D20+иногор!D20</f>
        <v>53801</v>
      </c>
      <c r="E20" s="190">
        <f t="shared" ref="E20:E30" si="23">ROUND(D20/C20*100,1)</f>
        <v>90.3</v>
      </c>
      <c r="F20" s="189">
        <f t="shared" si="15"/>
        <v>10083.333333333332</v>
      </c>
      <c r="G20" s="189">
        <f>кмс!G20+МАКС!G20+сол!G20+иногор!G20</f>
        <v>6087</v>
      </c>
      <c r="H20" s="191">
        <f t="shared" si="16"/>
        <v>60.4</v>
      </c>
      <c r="I20" s="189">
        <f t="shared" si="17"/>
        <v>9166.6666666666679</v>
      </c>
      <c r="J20" s="189">
        <f>кмс!J20+МАКС!J20+сол!J20+иногор!J20</f>
        <v>6624</v>
      </c>
      <c r="K20" s="191">
        <f t="shared" si="18"/>
        <v>72.3</v>
      </c>
      <c r="L20" s="189">
        <f t="shared" si="19"/>
        <v>148500</v>
      </c>
      <c r="M20" s="189">
        <f>кмс!M20+МАКС!M20+сол!M20+иногор!M20</f>
        <v>137396.03999999998</v>
      </c>
      <c r="N20" s="191">
        <f t="shared" si="10"/>
        <v>92.5</v>
      </c>
      <c r="O20" s="189">
        <f t="shared" si="20"/>
        <v>37583.333333333328</v>
      </c>
      <c r="P20" s="189">
        <f>кмс!P20+МАКС!P20+сол!P20+иногор!P20</f>
        <v>29088</v>
      </c>
      <c r="Q20" s="191">
        <f t="shared" si="11"/>
        <v>77.400000000000006</v>
      </c>
      <c r="R20" s="189">
        <f t="shared" si="22"/>
        <v>8250</v>
      </c>
      <c r="S20" s="189">
        <f>кмс!S20+МАКС!S20+сол!S20+иногор!S20+AE20</f>
        <v>7448</v>
      </c>
      <c r="T20" s="191">
        <f t="shared" si="12"/>
        <v>90.3</v>
      </c>
      <c r="U20" s="189">
        <f t="shared" si="21"/>
        <v>439.08333333333331</v>
      </c>
      <c r="V20" s="189">
        <f>кмс!V20+МАКС!V20+сол!V20+иногор!V20</f>
        <v>479</v>
      </c>
      <c r="W20" s="191">
        <f>ROUND(V20/U20*100,1)</f>
        <v>109.1</v>
      </c>
      <c r="X20" s="297">
        <f>кмс!Y20+МАКС!Y20+сол!Y20</f>
        <v>65000</v>
      </c>
      <c r="Y20" s="297">
        <f>кмс!AB20+МАКС!AB20+сол!AB20</f>
        <v>11000</v>
      </c>
      <c r="Z20" s="297">
        <f>кмс!AE20+МАКС!AE20+сол!AE20</f>
        <v>10000</v>
      </c>
      <c r="AA20" s="297">
        <f>кмс!AH20+МАКС!AH20+сол!AH20</f>
        <v>162000</v>
      </c>
      <c r="AB20" s="297">
        <f>кмс!AK20+МАКС!AK20+сол!AK20</f>
        <v>41000</v>
      </c>
      <c r="AC20" s="297">
        <f>кмс!AN20+МАКС!AN20+сол!AN20+AF20</f>
        <v>9000</v>
      </c>
      <c r="AD20" s="297">
        <f>кмс!AQ20+МАКС!AQ20+сол!AQ20</f>
        <v>479</v>
      </c>
      <c r="AE20" s="189">
        <f>[4]Гал!$AG$124</f>
        <v>447</v>
      </c>
      <c r="AF20">
        <f>499+1</f>
        <v>500</v>
      </c>
    </row>
    <row r="21" spans="1:32" ht="15" x14ac:dyDescent="0.2">
      <c r="A21" s="66">
        <v>14</v>
      </c>
      <c r="B21" s="67" t="s">
        <v>204</v>
      </c>
      <c r="C21" s="189">
        <f t="shared" si="14"/>
        <v>490.41666666666669</v>
      </c>
      <c r="D21" s="189">
        <f>кмс!D21+МАКС!D21+сол!D21+иногор!D21</f>
        <v>552</v>
      </c>
      <c r="E21" s="190">
        <f t="shared" si="23"/>
        <v>112.6</v>
      </c>
      <c r="F21" s="189">
        <f t="shared" si="15"/>
        <v>3624.5</v>
      </c>
      <c r="G21" s="189">
        <f>кмс!G21+МАКС!G21+сол!G21+иногор!G21</f>
        <v>4103</v>
      </c>
      <c r="H21" s="191">
        <f t="shared" si="16"/>
        <v>113.2</v>
      </c>
      <c r="I21" s="189">
        <f t="shared" si="17"/>
        <v>60.5</v>
      </c>
      <c r="J21" s="189">
        <f>кмс!J21+МАКС!J21+сол!J21+иногор!J21</f>
        <v>70</v>
      </c>
      <c r="K21" s="191">
        <f t="shared" si="18"/>
        <v>115.7</v>
      </c>
      <c r="L21" s="189">
        <f t="shared" si="19"/>
        <v>8614.8333333333321</v>
      </c>
      <c r="M21" s="189">
        <f>кмс!M21+МАКС!M21+сол!M21+иногор!M21</f>
        <v>9717.57</v>
      </c>
      <c r="N21" s="191">
        <f t="shared" si="10"/>
        <v>112.8</v>
      </c>
      <c r="O21" s="189">
        <f t="shared" si="20"/>
        <v>2879.25</v>
      </c>
      <c r="P21" s="189">
        <f>кмс!P21+МАКС!P21+сол!P21+иногор!P21</f>
        <v>3362</v>
      </c>
      <c r="Q21" s="191">
        <f t="shared" si="11"/>
        <v>116.8</v>
      </c>
      <c r="R21" s="189">
        <f t="shared" si="22"/>
        <v>0</v>
      </c>
      <c r="S21" s="189">
        <f>кмс!S21+МАКС!S21+сол!S21+иногор!S21+AE21</f>
        <v>0</v>
      </c>
      <c r="T21" s="191"/>
      <c r="U21" s="189">
        <f t="shared" si="21"/>
        <v>0</v>
      </c>
      <c r="V21" s="189"/>
      <c r="W21" s="191"/>
      <c r="X21" s="297">
        <f>кмс!Y21+МАКС!Y21+сол!Y21</f>
        <v>535</v>
      </c>
      <c r="Y21" s="297">
        <f>кмс!AB21+МАКС!AB21+сол!AB21</f>
        <v>3954</v>
      </c>
      <c r="Z21" s="297">
        <f>кмс!AE21+МАКС!AE21+сол!AE21</f>
        <v>66</v>
      </c>
      <c r="AA21" s="297">
        <f>кмс!AH21+МАКС!AH21+сол!AH21</f>
        <v>9398</v>
      </c>
      <c r="AB21" s="297">
        <f>кмс!AK21+МАКС!AK21+сол!AK21</f>
        <v>3141</v>
      </c>
      <c r="AC21" s="297">
        <f>кмс!AN21+МАКС!AN21+сол!AN21+AF21</f>
        <v>0</v>
      </c>
      <c r="AD21" s="297">
        <f>кмс!AQ21+МАКС!AQ21+сол!AQ21</f>
        <v>0</v>
      </c>
      <c r="AE21" s="189">
        <f>[4]орех!$AG$124</f>
        <v>0</v>
      </c>
    </row>
    <row r="22" spans="1:32" ht="15" x14ac:dyDescent="0.2">
      <c r="A22" s="66">
        <v>15</v>
      </c>
      <c r="B22" s="67" t="s">
        <v>228</v>
      </c>
      <c r="C22" s="189">
        <f t="shared" si="14"/>
        <v>4675</v>
      </c>
      <c r="D22" s="189">
        <f>кмс!D22+МАКС!D22+сол!D22+иногор!D22</f>
        <v>3703</v>
      </c>
      <c r="E22" s="190">
        <f t="shared" si="23"/>
        <v>79.2</v>
      </c>
      <c r="F22" s="189">
        <f t="shared" si="15"/>
        <v>3666.6666666666665</v>
      </c>
      <c r="G22" s="189">
        <f>кмс!G22+МАКС!G22+сол!G22+иногор!G22</f>
        <v>2965</v>
      </c>
      <c r="H22" s="191">
        <f t="shared" si="16"/>
        <v>80.900000000000006</v>
      </c>
      <c r="I22" s="189">
        <f t="shared" si="17"/>
        <v>2750</v>
      </c>
      <c r="J22" s="189">
        <f>кмс!J22+МАКС!J22+сол!J22+иногор!J22</f>
        <v>1693</v>
      </c>
      <c r="K22" s="191">
        <f t="shared" si="18"/>
        <v>61.6</v>
      </c>
      <c r="L22" s="189">
        <f t="shared" si="19"/>
        <v>30250</v>
      </c>
      <c r="M22" s="189">
        <f>кмс!M22+МАКС!M22+сол!M22+иногор!M22</f>
        <v>28041.820000000003</v>
      </c>
      <c r="N22" s="191">
        <f t="shared" si="10"/>
        <v>92.7</v>
      </c>
      <c r="O22" s="189">
        <f t="shared" si="20"/>
        <v>11000</v>
      </c>
      <c r="P22" s="189">
        <f>кмс!P22+МАКС!P22+сол!P22+иногор!P22</f>
        <v>8823</v>
      </c>
      <c r="Q22" s="191">
        <f t="shared" si="11"/>
        <v>80.2</v>
      </c>
      <c r="R22" s="189">
        <f t="shared" si="22"/>
        <v>1952.5</v>
      </c>
      <c r="S22" s="189">
        <f>кмс!S22+МАКС!S22+сол!S22+иногор!S22+AE22</f>
        <v>1686</v>
      </c>
      <c r="T22" s="191">
        <f t="shared" si="12"/>
        <v>86.4</v>
      </c>
      <c r="U22" s="189">
        <f t="shared" si="21"/>
        <v>0</v>
      </c>
      <c r="V22" s="189"/>
      <c r="W22" s="191"/>
      <c r="X22" s="297">
        <f>кмс!Y22+МАКС!Y22+сол!Y22</f>
        <v>5100</v>
      </c>
      <c r="Y22" s="297">
        <f>кмс!AB22+МАКС!AB22+сол!AB22</f>
        <v>4000</v>
      </c>
      <c r="Z22" s="297">
        <f>кмс!AE22+МАКС!AE22+сол!AE22</f>
        <v>3000</v>
      </c>
      <c r="AA22" s="297">
        <f>кмс!AH22+МАКС!AH22+сол!AH22</f>
        <v>33000</v>
      </c>
      <c r="AB22" s="297">
        <f>кмс!AK22+МАКС!AK22+сол!AK22</f>
        <v>12000</v>
      </c>
      <c r="AC22" s="297">
        <f>кмс!AN22+МАКС!AN22+сол!AN22+AF22</f>
        <v>2130</v>
      </c>
      <c r="AD22" s="297">
        <f>кмс!AQ22+МАКС!AQ22+сол!AQ22</f>
        <v>0</v>
      </c>
      <c r="AE22" s="189">
        <f>[2]пар!$AG$124</f>
        <v>29</v>
      </c>
      <c r="AF22">
        <v>30</v>
      </c>
    </row>
    <row r="23" spans="1:32" ht="15" x14ac:dyDescent="0.2">
      <c r="A23" s="66">
        <v>16</v>
      </c>
      <c r="B23" s="67" t="s">
        <v>229</v>
      </c>
      <c r="C23" s="189">
        <f t="shared" si="14"/>
        <v>3758.3333333333335</v>
      </c>
      <c r="D23" s="189">
        <f>кмс!D23+МАКС!D23+сол!D23+иногор!D23</f>
        <v>2677</v>
      </c>
      <c r="E23" s="190">
        <f t="shared" si="23"/>
        <v>71.2</v>
      </c>
      <c r="F23" s="189">
        <f t="shared" si="15"/>
        <v>4583.3333333333339</v>
      </c>
      <c r="G23" s="189">
        <f>кмс!G23+МАКС!G23+сол!G23+иногор!G23</f>
        <v>3597</v>
      </c>
      <c r="H23" s="191">
        <f t="shared" si="16"/>
        <v>78.5</v>
      </c>
      <c r="I23" s="189">
        <f t="shared" si="17"/>
        <v>2750</v>
      </c>
      <c r="J23" s="189">
        <f>кмс!J23+МАКС!J23+сол!J23+иногор!J23</f>
        <v>1605</v>
      </c>
      <c r="K23" s="191">
        <f t="shared" si="18"/>
        <v>58.4</v>
      </c>
      <c r="L23" s="189">
        <f t="shared" si="19"/>
        <v>36666.666666666672</v>
      </c>
      <c r="M23" s="189">
        <f>кмс!M23+МАКС!M23+сол!M23+иногор!M23</f>
        <v>35175.100000000006</v>
      </c>
      <c r="N23" s="191">
        <f t="shared" si="10"/>
        <v>95.9</v>
      </c>
      <c r="O23" s="189">
        <f t="shared" si="20"/>
        <v>8250</v>
      </c>
      <c r="P23" s="189">
        <f>кмс!P23+МАКС!P23+сол!P23+иногор!P23</f>
        <v>6312</v>
      </c>
      <c r="Q23" s="191">
        <f t="shared" si="11"/>
        <v>76.5</v>
      </c>
      <c r="R23" s="189">
        <f t="shared" si="22"/>
        <v>2511.666666666667</v>
      </c>
      <c r="S23" s="189">
        <f>кмс!S23+МАКС!S23+сол!S23+иногор!S23+AE23</f>
        <v>2263</v>
      </c>
      <c r="T23" s="191">
        <f t="shared" si="12"/>
        <v>90.1</v>
      </c>
      <c r="U23" s="189">
        <f t="shared" si="21"/>
        <v>0</v>
      </c>
      <c r="V23" s="189"/>
      <c r="W23" s="191"/>
      <c r="X23" s="297">
        <f>кмс!Y23+МАКС!Y23+сол!Y23</f>
        <v>4100</v>
      </c>
      <c r="Y23" s="297">
        <f>кмс!AB23+МАКС!AB23+сол!AB23</f>
        <v>5000</v>
      </c>
      <c r="Z23" s="297">
        <f>кмс!AE23+МАКС!AE23+сол!AE23</f>
        <v>3000</v>
      </c>
      <c r="AA23" s="297">
        <f>кмс!AH23+МАКС!AH23+сол!AH23</f>
        <v>40000</v>
      </c>
      <c r="AB23" s="297">
        <f>кмс!AK23+МАКС!AK23+сол!AK23</f>
        <v>9000</v>
      </c>
      <c r="AC23" s="297">
        <f>кмс!AN23+МАКС!AN23+сол!AN23+AF23</f>
        <v>2740</v>
      </c>
      <c r="AD23" s="297">
        <f>кмс!AQ23+МАКС!AQ23+сол!AQ23</f>
        <v>0</v>
      </c>
      <c r="AE23" s="189">
        <f>[3]СОЛИГ!$AG$124</f>
        <v>125</v>
      </c>
      <c r="AF23">
        <v>140</v>
      </c>
    </row>
    <row r="24" spans="1:32" ht="15" x14ac:dyDescent="0.2">
      <c r="A24" s="66">
        <v>17</v>
      </c>
      <c r="B24" s="67" t="s">
        <v>230</v>
      </c>
      <c r="C24" s="189">
        <f t="shared" si="14"/>
        <v>6508.333333333333</v>
      </c>
      <c r="D24" s="189">
        <f>кмс!D24+МАКС!D24+сол!D24+иногор!D24</f>
        <v>6034</v>
      </c>
      <c r="E24" s="190">
        <f t="shared" si="23"/>
        <v>92.7</v>
      </c>
      <c r="F24" s="189">
        <f t="shared" si="15"/>
        <v>2750</v>
      </c>
      <c r="G24" s="189">
        <f>кмс!G24+МАКС!G24+сол!G24+иногор!G24</f>
        <v>928</v>
      </c>
      <c r="H24" s="191">
        <f t="shared" si="16"/>
        <v>33.700000000000003</v>
      </c>
      <c r="I24" s="189">
        <f t="shared" si="17"/>
        <v>2750</v>
      </c>
      <c r="J24" s="189">
        <f>кмс!J24+МАКС!J24+сол!J24+иногор!J24</f>
        <v>1084</v>
      </c>
      <c r="K24" s="191">
        <f t="shared" si="18"/>
        <v>39.4</v>
      </c>
      <c r="L24" s="189">
        <f t="shared" si="19"/>
        <v>55916.666666666664</v>
      </c>
      <c r="M24" s="189">
        <f>кмс!M24+МАКС!M24+сол!M24+иногор!M24</f>
        <v>53525.760000000002</v>
      </c>
      <c r="N24" s="191">
        <f t="shared" si="10"/>
        <v>95.7</v>
      </c>
      <c r="O24" s="189">
        <f t="shared" si="20"/>
        <v>9166.6666666666679</v>
      </c>
      <c r="P24" s="189">
        <f>кмс!P24+МАКС!P24+сол!P24+иногор!P24</f>
        <v>8321</v>
      </c>
      <c r="Q24" s="191">
        <f t="shared" si="11"/>
        <v>90.8</v>
      </c>
      <c r="R24" s="189">
        <f t="shared" si="22"/>
        <v>2789.416666666667</v>
      </c>
      <c r="S24" s="189">
        <f>кмс!S24+МАКС!S24+сол!S24+иногор!S24+AE24</f>
        <v>2454</v>
      </c>
      <c r="T24" s="191">
        <f t="shared" si="12"/>
        <v>88</v>
      </c>
      <c r="U24" s="189">
        <f t="shared" si="21"/>
        <v>0</v>
      </c>
      <c r="V24" s="189"/>
      <c r="W24" s="191"/>
      <c r="X24" s="297">
        <f>кмс!Y24+МАКС!Y24+сол!Y24</f>
        <v>7100</v>
      </c>
      <c r="Y24" s="297">
        <f>кмс!AB24+МАКС!AB24+сол!AB24</f>
        <v>3000</v>
      </c>
      <c r="Z24" s="297">
        <f>кмс!AE24+МАКС!AE24+сол!AE24</f>
        <v>3000</v>
      </c>
      <c r="AA24" s="297">
        <f>кмс!AH24+МАКС!AH24+сол!AH24</f>
        <v>61000</v>
      </c>
      <c r="AB24" s="297">
        <f>кмс!AK24+МАКС!AK24+сол!AK24</f>
        <v>10000</v>
      </c>
      <c r="AC24" s="297">
        <f>кмс!AN24+МАКС!AN24+сол!AN24+AF24</f>
        <v>3043</v>
      </c>
      <c r="AD24" s="297">
        <f>кмс!AQ24+МАКС!AQ24+сол!AQ24</f>
        <v>0</v>
      </c>
      <c r="AE24" s="189">
        <f>[4]чухлом!$AG$124</f>
        <v>42</v>
      </c>
      <c r="AF24">
        <v>43</v>
      </c>
    </row>
    <row r="25" spans="1:32" ht="15" x14ac:dyDescent="0.2">
      <c r="A25" s="274">
        <v>18</v>
      </c>
      <c r="B25" s="78" t="s">
        <v>247</v>
      </c>
      <c r="C25" s="189">
        <f t="shared" si="14"/>
        <v>2841.6666666666665</v>
      </c>
      <c r="D25" s="189">
        <f>кмс!D25+МАКС!D25+сол!D25+иногор!D25</f>
        <v>2286</v>
      </c>
      <c r="E25" s="190">
        <f>ROUND(D25/C25*100,1)</f>
        <v>80.400000000000006</v>
      </c>
      <c r="F25" s="189">
        <f t="shared" si="15"/>
        <v>2750</v>
      </c>
      <c r="G25" s="189">
        <f>кмс!G25+МАКС!G25+сол!G25+иногор!G25</f>
        <v>2575</v>
      </c>
      <c r="H25" s="191">
        <f>ROUND(G25/F25*100,1)</f>
        <v>93.6</v>
      </c>
      <c r="I25" s="189">
        <f t="shared" si="17"/>
        <v>2750</v>
      </c>
      <c r="J25" s="189">
        <f>кмс!J25+МАКС!J25+сол!J25+иногор!J25</f>
        <v>1069</v>
      </c>
      <c r="K25" s="191">
        <f>ROUND(J25/I25*100,1)</f>
        <v>38.9</v>
      </c>
      <c r="L25" s="189">
        <f t="shared" si="19"/>
        <v>24750</v>
      </c>
      <c r="M25" s="262">
        <f>кмс!M25+МАКС!M25+сол!M25+иногор!M25</f>
        <v>23338.86</v>
      </c>
      <c r="N25" s="191">
        <f t="shared" si="10"/>
        <v>94.3</v>
      </c>
      <c r="O25" s="189">
        <f t="shared" si="20"/>
        <v>11000</v>
      </c>
      <c r="P25" s="189">
        <f>кмс!P25+МАКС!P25+сол!P25+иногор!P25</f>
        <v>9214</v>
      </c>
      <c r="Q25" s="191">
        <f t="shared" si="11"/>
        <v>83.8</v>
      </c>
      <c r="R25" s="189">
        <f t="shared" si="22"/>
        <v>1182.5</v>
      </c>
      <c r="S25" s="189">
        <f>кмс!S25+МАКС!S25+сол!S25+иногор!S25+AE25</f>
        <v>1099</v>
      </c>
      <c r="T25" s="191">
        <f>ROUND(S25/R25*100,1)</f>
        <v>92.9</v>
      </c>
      <c r="U25" s="189">
        <f t="shared" si="21"/>
        <v>0</v>
      </c>
      <c r="V25" s="189"/>
      <c r="W25" s="191"/>
      <c r="X25" s="297">
        <f>кмс!Y25+МАКС!Y25+сол!Y25</f>
        <v>3100</v>
      </c>
      <c r="Y25" s="297">
        <f>кмс!AB25+МАКС!AB25+сол!AB25</f>
        <v>3000</v>
      </c>
      <c r="Z25" s="297">
        <f>кмс!AE25+МАКС!AE25+сол!AE25</f>
        <v>3000</v>
      </c>
      <c r="AA25" s="297">
        <f>кмс!AH25+МАКС!AH25+сол!AH25</f>
        <v>27000</v>
      </c>
      <c r="AB25" s="297">
        <f>кмс!AK25+МАКС!AK25+сол!AK25</f>
        <v>12000</v>
      </c>
      <c r="AC25" s="297">
        <f>кмс!AN25+МАКС!AN25+сол!AN25+AF25</f>
        <v>1290</v>
      </c>
      <c r="AD25" s="297">
        <f>кмс!AQ25+МАКС!AQ25+сол!AQ25</f>
        <v>0</v>
      </c>
      <c r="AE25" s="189">
        <f>[2]сус!$AG$124</f>
        <v>84</v>
      </c>
      <c r="AF25">
        <v>90</v>
      </c>
    </row>
    <row r="26" spans="1:32" ht="15.75" x14ac:dyDescent="0.25">
      <c r="A26" s="391" t="s">
        <v>272</v>
      </c>
      <c r="B26" s="392"/>
      <c r="C26" s="279">
        <f>SUM(C27:C33)</f>
        <v>81125</v>
      </c>
      <c r="D26" s="279">
        <f>SUM(D27:D33)</f>
        <v>74219</v>
      </c>
      <c r="E26" s="187">
        <f>ROUND(D26/C26*100,1)</f>
        <v>91.5</v>
      </c>
      <c r="F26" s="279">
        <f>SUM(F27:F33)</f>
        <v>46538.25</v>
      </c>
      <c r="G26" s="279">
        <f>SUM(G27:G33)</f>
        <v>39601</v>
      </c>
      <c r="H26" s="188">
        <f>ROUND(G26/F26*100,1)</f>
        <v>85.1</v>
      </c>
      <c r="I26" s="279">
        <f>SUM(I27:I33)</f>
        <v>14666.666666666668</v>
      </c>
      <c r="J26" s="279">
        <f>SUM(J27:J33)</f>
        <v>6783</v>
      </c>
      <c r="K26" s="188">
        <f>ROUND(J26/I26*100,1)</f>
        <v>46.2</v>
      </c>
      <c r="L26" s="279">
        <f>SUM(L27:L33)</f>
        <v>316250</v>
      </c>
      <c r="M26" s="283">
        <f>SUM(M27:M33)</f>
        <v>297739.49</v>
      </c>
      <c r="N26" s="193">
        <f t="shared" si="10"/>
        <v>94.1</v>
      </c>
      <c r="O26" s="279">
        <f>SUM(O27:O33)</f>
        <v>92583.333333333328</v>
      </c>
      <c r="P26" s="279">
        <f>SUM(P27:P33)</f>
        <v>76165</v>
      </c>
      <c r="Q26" s="193">
        <f t="shared" si="11"/>
        <v>82.3</v>
      </c>
      <c r="R26" s="279">
        <f>SUM(R27:R33)</f>
        <v>23071.583333333328</v>
      </c>
      <c r="S26" s="279">
        <f>SUM(S27:S33)</f>
        <v>21134</v>
      </c>
      <c r="T26" s="193">
        <f t="shared" si="12"/>
        <v>91.6</v>
      </c>
      <c r="U26" s="279">
        <f>SUM(U27:U33)</f>
        <v>0</v>
      </c>
      <c r="V26" s="279">
        <f>SUM(V27:V33)</f>
        <v>0</v>
      </c>
      <c r="W26" s="193"/>
      <c r="X26" s="282">
        <f t="shared" ref="X26:AF26" si="24">SUM(X27:X33)</f>
        <v>88500</v>
      </c>
      <c r="Y26" s="282">
        <f t="shared" si="24"/>
        <v>50769</v>
      </c>
      <c r="Z26" s="282">
        <f t="shared" si="24"/>
        <v>16000</v>
      </c>
      <c r="AA26" s="282">
        <f t="shared" si="24"/>
        <v>345000</v>
      </c>
      <c r="AB26" s="301">
        <f t="shared" si="24"/>
        <v>101000</v>
      </c>
      <c r="AC26" s="356">
        <f t="shared" si="24"/>
        <v>25169</v>
      </c>
      <c r="AD26" s="282">
        <f t="shared" si="24"/>
        <v>0</v>
      </c>
      <c r="AE26" s="192">
        <f t="shared" si="24"/>
        <v>939</v>
      </c>
      <c r="AF26" s="192">
        <f t="shared" si="24"/>
        <v>1069</v>
      </c>
    </row>
    <row r="27" spans="1:32" ht="15" x14ac:dyDescent="0.2">
      <c r="A27" s="66">
        <v>19</v>
      </c>
      <c r="B27" s="67" t="s">
        <v>231</v>
      </c>
      <c r="C27" s="189">
        <f t="shared" ref="C27:C33" si="25">X27/12*11</f>
        <v>5500</v>
      </c>
      <c r="D27" s="189">
        <f>кмс!D27+МАКС!D27+сол!D27+иногор!D27</f>
        <v>4205</v>
      </c>
      <c r="E27" s="190">
        <f t="shared" si="23"/>
        <v>76.5</v>
      </c>
      <c r="F27" s="189">
        <f t="shared" ref="F27:F33" si="26">Y27/12*11</f>
        <v>5500</v>
      </c>
      <c r="G27" s="189">
        <f>кмс!G27+МАКС!G27+сол!G27+иногор!G27</f>
        <v>4229</v>
      </c>
      <c r="H27" s="191">
        <f t="shared" si="16"/>
        <v>76.900000000000006</v>
      </c>
      <c r="I27" s="189">
        <f t="shared" ref="I27:I33" si="27">Z27/12*11</f>
        <v>3666.6666666666665</v>
      </c>
      <c r="J27" s="189">
        <f>кмс!J27+МАКС!J27+сол!J27+иногор!J27</f>
        <v>2036</v>
      </c>
      <c r="K27" s="191">
        <f t="shared" si="18"/>
        <v>55.5</v>
      </c>
      <c r="L27" s="189">
        <f t="shared" ref="L27:L33" si="28">AA27/12*11</f>
        <v>27500</v>
      </c>
      <c r="M27" s="262">
        <f>кмс!M27+МАКС!M27+сол!M27+иногор!M27</f>
        <v>24529.920000000002</v>
      </c>
      <c r="N27" s="191">
        <f t="shared" si="10"/>
        <v>89.2</v>
      </c>
      <c r="O27" s="189">
        <f t="shared" ref="O27:O33" si="29">AB27/12*11</f>
        <v>9166.6666666666679</v>
      </c>
      <c r="P27" s="189">
        <f>кмс!P27+МАКС!P27+сол!P27+иногор!P27</f>
        <v>7348</v>
      </c>
      <c r="Q27" s="191">
        <f t="shared" si="11"/>
        <v>80.2</v>
      </c>
      <c r="R27" s="189">
        <f t="shared" ref="R27:R33" si="30">AC27/12*11</f>
        <v>2339.333333333333</v>
      </c>
      <c r="S27" s="189">
        <f>кмс!S27+МАКС!S27+сол!S27+иногор!S27+AE27</f>
        <v>2018</v>
      </c>
      <c r="T27" s="191">
        <f t="shared" si="12"/>
        <v>86.3</v>
      </c>
      <c r="U27" s="189">
        <f t="shared" ref="U27:U33" si="31">AD27/12*11</f>
        <v>0</v>
      </c>
      <c r="V27" s="189"/>
      <c r="W27" s="191"/>
      <c r="X27" s="297">
        <f>кмс!Y27+МАКС!Y27+сол!Y27</f>
        <v>6000</v>
      </c>
      <c r="Y27" s="297">
        <f>кмс!AB27+МАКС!AB27+сол!AB27</f>
        <v>6000</v>
      </c>
      <c r="Z27" s="297">
        <f>кмс!AE27+МАКС!AE27+сол!AE27</f>
        <v>4000</v>
      </c>
      <c r="AA27" s="297">
        <f>кмс!AH27+МАКС!AH27+сол!AH27</f>
        <v>30000</v>
      </c>
      <c r="AB27" s="297">
        <f>кмс!AK27+МАКС!AK27+сол!AK27</f>
        <v>10000</v>
      </c>
      <c r="AC27" s="297">
        <f>кмс!AN27+МАКС!AN27+сол!AN27+AF27</f>
        <v>2552</v>
      </c>
      <c r="AD27" s="297">
        <f>кмс!AQ27+МАКС!AQ27+сол!AQ27</f>
        <v>0</v>
      </c>
      <c r="AE27" s="189">
        <f>[4]кадый!$AG$124</f>
        <v>222</v>
      </c>
      <c r="AF27">
        <v>252</v>
      </c>
    </row>
    <row r="28" spans="1:32" ht="15" x14ac:dyDescent="0.2">
      <c r="A28" s="66">
        <v>20</v>
      </c>
      <c r="B28" s="67" t="s">
        <v>232</v>
      </c>
      <c r="C28" s="189">
        <f t="shared" si="25"/>
        <v>2750</v>
      </c>
      <c r="D28" s="189">
        <f>кмс!D28+МАКС!D28+сол!D28+иногор!D28</f>
        <v>2023</v>
      </c>
      <c r="E28" s="190">
        <f t="shared" si="23"/>
        <v>73.599999999999994</v>
      </c>
      <c r="F28" s="189">
        <f t="shared" si="26"/>
        <v>1833.3333333333333</v>
      </c>
      <c r="G28" s="189">
        <f>кмс!G28+МАКС!G28+сол!G28+иногор!G28</f>
        <v>1287</v>
      </c>
      <c r="H28" s="191">
        <f t="shared" si="16"/>
        <v>70.2</v>
      </c>
      <c r="I28" s="189">
        <f t="shared" si="27"/>
        <v>1375</v>
      </c>
      <c r="J28" s="189">
        <f>кмс!J28+МАКС!J28+сол!J28+иногор!J28</f>
        <v>308</v>
      </c>
      <c r="K28" s="191">
        <f t="shared" si="18"/>
        <v>22.4</v>
      </c>
      <c r="L28" s="189">
        <f t="shared" si="28"/>
        <v>16500</v>
      </c>
      <c r="M28" s="262">
        <f>кмс!M28+МАКС!M28+сол!M28+иногор!M28</f>
        <v>15140.960000000001</v>
      </c>
      <c r="N28" s="191">
        <f t="shared" si="10"/>
        <v>91.8</v>
      </c>
      <c r="O28" s="189">
        <f t="shared" si="29"/>
        <v>3666.6666666666665</v>
      </c>
      <c r="P28" s="189">
        <f>кмс!P28+МАКС!P28+сол!P28+иногор!P28</f>
        <v>3254</v>
      </c>
      <c r="Q28" s="191">
        <f t="shared" si="11"/>
        <v>88.7</v>
      </c>
      <c r="R28" s="189">
        <f t="shared" si="30"/>
        <v>2582.25</v>
      </c>
      <c r="S28" s="189">
        <f>кмс!S28+МАКС!S28+сол!S28+иногор!S28+AE28</f>
        <v>2276</v>
      </c>
      <c r="T28" s="191">
        <f t="shared" si="12"/>
        <v>88.1</v>
      </c>
      <c r="U28" s="189">
        <f t="shared" si="31"/>
        <v>0</v>
      </c>
      <c r="V28" s="189"/>
      <c r="W28" s="191"/>
      <c r="X28" s="297">
        <f>кмс!Y28+МАКС!Y28+сол!Y28</f>
        <v>3000</v>
      </c>
      <c r="Y28" s="297">
        <f>кмс!AB28+МАКС!AB28+сол!AB28</f>
        <v>2000</v>
      </c>
      <c r="Z28" s="297">
        <f>кмс!AE28+МАКС!AE28+сол!AE28</f>
        <v>1500</v>
      </c>
      <c r="AA28" s="297">
        <f>кмс!AH28+МАКС!AH28+сол!AH28</f>
        <v>18000</v>
      </c>
      <c r="AB28" s="297">
        <f>кмс!AK28+МАКС!AK28+сол!AK28</f>
        <v>4000</v>
      </c>
      <c r="AC28" s="297">
        <f>кмс!AN28+МАКС!AN28+сол!AN28+AF28</f>
        <v>2817</v>
      </c>
      <c r="AD28" s="297">
        <f>кмс!AQ28+МАКС!AQ28+сол!AQ28</f>
        <v>0</v>
      </c>
      <c r="AE28" s="189">
        <f>[2]кол!$AG$124</f>
        <v>82</v>
      </c>
      <c r="AF28">
        <v>117</v>
      </c>
    </row>
    <row r="29" spans="1:32" ht="15" x14ac:dyDescent="0.2">
      <c r="A29" s="66">
        <v>21</v>
      </c>
      <c r="B29" s="67" t="s">
        <v>279</v>
      </c>
      <c r="C29" s="189">
        <f t="shared" si="25"/>
        <v>11000</v>
      </c>
      <c r="D29" s="189">
        <f>кмс!D29+МАКС!D29+сол!D29+иногор!D29</f>
        <v>9431</v>
      </c>
      <c r="E29" s="190">
        <f t="shared" si="23"/>
        <v>85.7</v>
      </c>
      <c r="F29" s="189">
        <f t="shared" si="26"/>
        <v>10788.25</v>
      </c>
      <c r="G29" s="189">
        <f>кмс!G29+МАКС!G29+сол!G29+иногор!G29</f>
        <v>9323</v>
      </c>
      <c r="H29" s="191">
        <f t="shared" si="16"/>
        <v>86.4</v>
      </c>
      <c r="I29" s="189">
        <f t="shared" si="27"/>
        <v>1833.3333333333333</v>
      </c>
      <c r="J29" s="189">
        <f>кмс!J29+МАКС!J29+сол!J29+иногор!J29</f>
        <v>848</v>
      </c>
      <c r="K29" s="191">
        <f t="shared" si="18"/>
        <v>46.3</v>
      </c>
      <c r="L29" s="189">
        <f t="shared" si="28"/>
        <v>66000</v>
      </c>
      <c r="M29" s="262">
        <f>кмс!M29+МАКС!M29+сол!M29+иногор!M29</f>
        <v>59815.63</v>
      </c>
      <c r="N29" s="191">
        <f t="shared" si="10"/>
        <v>90.6</v>
      </c>
      <c r="O29" s="189">
        <f t="shared" si="29"/>
        <v>22916.666666666668</v>
      </c>
      <c r="P29" s="189">
        <f>кмс!P29+МАКС!P29+сол!P29+иногор!P29</f>
        <v>19274</v>
      </c>
      <c r="Q29" s="191">
        <f t="shared" si="11"/>
        <v>84.1</v>
      </c>
      <c r="R29" s="189">
        <f t="shared" si="30"/>
        <v>5318.5</v>
      </c>
      <c r="S29" s="189">
        <f>кмс!S29+МАКС!S29+сол!S29+иногор!S29+AE29</f>
        <v>4809</v>
      </c>
      <c r="T29" s="191">
        <f t="shared" si="12"/>
        <v>90.4</v>
      </c>
      <c r="U29" s="189">
        <f t="shared" si="31"/>
        <v>0</v>
      </c>
      <c r="V29" s="189"/>
      <c r="W29" s="191"/>
      <c r="X29" s="297">
        <f>кмс!Y29+МАКС!Y29+сол!Y29</f>
        <v>12000</v>
      </c>
      <c r="Y29" s="297">
        <f>кмс!AB29+МАКС!AB29+сол!AB29</f>
        <v>11769</v>
      </c>
      <c r="Z29" s="297">
        <f>кмс!AE29+МАКС!AE29+сол!AE29</f>
        <v>2000</v>
      </c>
      <c r="AA29" s="297">
        <f>кмс!AH29+МАКС!AH29+сол!AH29</f>
        <v>72000</v>
      </c>
      <c r="AB29" s="297">
        <f>кмс!AK29+МАКС!AK29+сол!AK29</f>
        <v>25000</v>
      </c>
      <c r="AC29" s="297">
        <f>кмс!AN29+МАКС!AN29+сол!AN29+AF29</f>
        <v>5802</v>
      </c>
      <c r="AD29" s="297">
        <f>кмс!AQ29+МАКС!AQ29+сол!AQ29</f>
        <v>0</v>
      </c>
      <c r="AE29" s="189">
        <f>[3]МАК!$AG$124</f>
        <v>198</v>
      </c>
      <c r="AF29">
        <v>202</v>
      </c>
    </row>
    <row r="30" spans="1:32" ht="15.4" customHeight="1" x14ac:dyDescent="0.2">
      <c r="A30" s="66">
        <v>22</v>
      </c>
      <c r="B30" s="67" t="s">
        <v>205</v>
      </c>
      <c r="C30" s="189">
        <f t="shared" si="25"/>
        <v>41250</v>
      </c>
      <c r="D30" s="189">
        <f>кмс!D30+МАКС!D30+сол!D30+иногор!D30</f>
        <v>39817</v>
      </c>
      <c r="E30" s="190">
        <f t="shared" si="23"/>
        <v>96.5</v>
      </c>
      <c r="F30" s="189">
        <f t="shared" si="26"/>
        <v>11000</v>
      </c>
      <c r="G30" s="189">
        <f>кмс!G30+МАКС!G30+сол!G30+иногор!G30</f>
        <v>9032</v>
      </c>
      <c r="H30" s="191">
        <f t="shared" si="16"/>
        <v>82.1</v>
      </c>
      <c r="I30" s="189">
        <f t="shared" si="27"/>
        <v>2750</v>
      </c>
      <c r="J30" s="189">
        <f>кмс!J30+МАКС!J30+сол!J30+иногор!J30</f>
        <v>1700</v>
      </c>
      <c r="K30" s="191">
        <f t="shared" si="18"/>
        <v>61.8</v>
      </c>
      <c r="L30" s="189">
        <f t="shared" si="28"/>
        <v>100833.33333333333</v>
      </c>
      <c r="M30" s="262">
        <f>кмс!M30+МАКС!M30+сол!M30+иногор!M30</f>
        <v>95334.53</v>
      </c>
      <c r="N30" s="191">
        <f t="shared" si="10"/>
        <v>94.5</v>
      </c>
      <c r="O30" s="189">
        <f t="shared" si="29"/>
        <v>20166.666666666664</v>
      </c>
      <c r="P30" s="189">
        <f>кмс!P30+МАКС!P30+сол!P30+иногор!P30</f>
        <v>15748</v>
      </c>
      <c r="Q30" s="191">
        <f t="shared" si="11"/>
        <v>78.099999999999994</v>
      </c>
      <c r="R30" s="189">
        <f t="shared" si="30"/>
        <v>7289.333333333333</v>
      </c>
      <c r="S30" s="189">
        <f>кмс!S30+МАКС!S30+сол!S30+иногор!S30+AE30</f>
        <v>6765</v>
      </c>
      <c r="T30" s="191">
        <f t="shared" si="12"/>
        <v>92.8</v>
      </c>
      <c r="U30" s="189">
        <f t="shared" si="31"/>
        <v>0</v>
      </c>
      <c r="V30" s="189"/>
      <c r="W30" s="191"/>
      <c r="X30" s="297">
        <f>кмс!Y30+МАКС!Y30+сол!Y30</f>
        <v>45000</v>
      </c>
      <c r="Y30" s="297">
        <f>кмс!AB30+МАКС!AB30+сол!AB30</f>
        <v>12000</v>
      </c>
      <c r="Z30" s="297">
        <f>кмс!AE30+МАКС!AE30+сол!AE30</f>
        <v>3000</v>
      </c>
      <c r="AA30" s="297">
        <f>кмс!AH30+МАКС!AH30+сол!AH30</f>
        <v>110000</v>
      </c>
      <c r="AB30" s="297">
        <f>кмс!AK30+МАКС!AK30+сол!AK30</f>
        <v>22000</v>
      </c>
      <c r="AC30" s="297">
        <f>кмс!AN30+МАКС!AN30+сол!AN30+AF30</f>
        <v>7952</v>
      </c>
      <c r="AD30" s="297">
        <f>кмс!AQ30+МАКС!AQ30+сол!AQ30</f>
        <v>0</v>
      </c>
      <c r="AE30" s="189">
        <f>[3]МАНТ!$AG$124</f>
        <v>159</v>
      </c>
      <c r="AF30">
        <v>152</v>
      </c>
    </row>
    <row r="31" spans="1:32" ht="15" x14ac:dyDescent="0.2">
      <c r="A31" s="66">
        <v>23</v>
      </c>
      <c r="B31" s="67" t="s">
        <v>206</v>
      </c>
      <c r="C31" s="189">
        <f t="shared" si="25"/>
        <v>0</v>
      </c>
      <c r="D31" s="189">
        <f>кмс!D31+МАКС!D31+сол!D31+иногор!D31</f>
        <v>0</v>
      </c>
      <c r="E31" s="190"/>
      <c r="F31" s="189">
        <f t="shared" si="26"/>
        <v>3666.6666666666665</v>
      </c>
      <c r="G31" s="189">
        <f>кмс!G31+МАКС!G31+сол!G31+иногор!G31</f>
        <v>3036</v>
      </c>
      <c r="H31" s="191">
        <f t="shared" si="16"/>
        <v>82.8</v>
      </c>
      <c r="I31" s="189">
        <f t="shared" si="27"/>
        <v>1833.3333333333333</v>
      </c>
      <c r="J31" s="189">
        <f>кмс!J31+МАКС!J31+сол!J31+иногор!J31</f>
        <v>398</v>
      </c>
      <c r="K31" s="191">
        <f t="shared" si="18"/>
        <v>21.7</v>
      </c>
      <c r="L31" s="189">
        <f t="shared" si="28"/>
        <v>20166.666666666664</v>
      </c>
      <c r="M31" s="262">
        <f>кмс!M31+МАКС!M31+сол!M31+иногор!M31</f>
        <v>18443.240000000002</v>
      </c>
      <c r="N31" s="191">
        <f t="shared" si="10"/>
        <v>91.5</v>
      </c>
      <c r="O31" s="189">
        <f t="shared" si="29"/>
        <v>3666.6666666666665</v>
      </c>
      <c r="P31" s="189">
        <f>кмс!P31+МАКС!P31+сол!P31+иногор!P31</f>
        <v>2292</v>
      </c>
      <c r="Q31" s="191">
        <f t="shared" si="11"/>
        <v>62.5</v>
      </c>
      <c r="R31" s="189">
        <f t="shared" si="30"/>
        <v>0</v>
      </c>
      <c r="S31" s="189">
        <f>кмс!S31+МАКС!S31+сол!S31+иногор!S31+AE31</f>
        <v>0</v>
      </c>
      <c r="T31" s="191"/>
      <c r="U31" s="189">
        <f t="shared" si="31"/>
        <v>0</v>
      </c>
      <c r="V31" s="189"/>
      <c r="W31" s="191"/>
      <c r="X31" s="297">
        <f>кмс!Y31+МАКС!Y31+сол!Y31</f>
        <v>0</v>
      </c>
      <c r="Y31" s="297">
        <f>кмс!AB31+МАКС!AB31+сол!AB31</f>
        <v>4000</v>
      </c>
      <c r="Z31" s="297">
        <f>кмс!AE31+МАКС!AE31+сол!AE31</f>
        <v>2000</v>
      </c>
      <c r="AA31" s="297">
        <f>кмс!AH31+МАКС!AH31+сол!AH31</f>
        <v>22000</v>
      </c>
      <c r="AB31" s="297">
        <f>кмс!AK31+МАКС!AK31+сол!AK31</f>
        <v>4000</v>
      </c>
      <c r="AC31" s="297">
        <f>кмс!AN31+МАКС!AN31+сол!AN31+AF31</f>
        <v>0</v>
      </c>
      <c r="AD31" s="297"/>
      <c r="AE31" s="189">
        <f>[2]спас!$AG$124</f>
        <v>0</v>
      </c>
    </row>
    <row r="32" spans="1:32" ht="15" x14ac:dyDescent="0.2">
      <c r="A32" s="66">
        <v>24</v>
      </c>
      <c r="B32" s="67" t="s">
        <v>234</v>
      </c>
      <c r="C32" s="189">
        <f t="shared" si="25"/>
        <v>3208.3333333333335</v>
      </c>
      <c r="D32" s="189">
        <f>кмс!D32+МАКС!D32+сол!D32+иногор!D32</f>
        <v>2153</v>
      </c>
      <c r="E32" s="190">
        <f>ROUND(D32/C32*100,1)</f>
        <v>67.099999999999994</v>
      </c>
      <c r="F32" s="189">
        <f t="shared" si="26"/>
        <v>4583.3333333333339</v>
      </c>
      <c r="G32" s="189">
        <f>кмс!G32+МАКС!G32+сол!G32+иногор!G32</f>
        <v>4215</v>
      </c>
      <c r="H32" s="191">
        <f t="shared" si="16"/>
        <v>92</v>
      </c>
      <c r="I32" s="189">
        <f t="shared" si="27"/>
        <v>1375</v>
      </c>
      <c r="J32" s="189">
        <f>кмс!J32+МАКС!J32+сол!J32+иногор!J32</f>
        <v>871</v>
      </c>
      <c r="K32" s="191">
        <f t="shared" si="18"/>
        <v>63.3</v>
      </c>
      <c r="L32" s="189">
        <f t="shared" si="28"/>
        <v>22000</v>
      </c>
      <c r="M32" s="262">
        <f>кмс!M32+МАКС!M32+сол!M32+иногор!M32</f>
        <v>20397.200000000004</v>
      </c>
      <c r="N32" s="191">
        <f t="shared" si="10"/>
        <v>92.7</v>
      </c>
      <c r="O32" s="189">
        <f t="shared" si="29"/>
        <v>7333.333333333333</v>
      </c>
      <c r="P32" s="189">
        <f>кмс!P32+МАКС!P32+сол!P32+иногор!P32</f>
        <v>5862</v>
      </c>
      <c r="Q32" s="191">
        <f t="shared" si="11"/>
        <v>79.900000000000006</v>
      </c>
      <c r="R32" s="189">
        <f t="shared" si="30"/>
        <v>1528.0833333333333</v>
      </c>
      <c r="S32" s="189">
        <f>кмс!S32+МАКС!S32+сол!S32+иногор!S32+AE32</f>
        <v>1464</v>
      </c>
      <c r="T32" s="191">
        <f t="shared" si="12"/>
        <v>95.8</v>
      </c>
      <c r="U32" s="189">
        <f t="shared" si="31"/>
        <v>0</v>
      </c>
      <c r="V32" s="189"/>
      <c r="W32" s="191"/>
      <c r="X32" s="297">
        <f>кмс!Y32+МАКС!Y32+сол!Y32</f>
        <v>3500</v>
      </c>
      <c r="Y32" s="297">
        <f>кмс!AB32+МАКС!AB32+сол!AB32</f>
        <v>5000</v>
      </c>
      <c r="Z32" s="297">
        <f>кмс!AE32+МАКС!AE32+сол!AE32</f>
        <v>1500</v>
      </c>
      <c r="AA32" s="297">
        <f>кмс!AH32+МАКС!AH32+сол!AH32</f>
        <v>24000</v>
      </c>
      <c r="AB32" s="297">
        <f>кмс!AK32+МАКС!AK32+сол!AK32</f>
        <v>8000</v>
      </c>
      <c r="AC32" s="297">
        <f>кмс!AN32+МАКС!AN32+сол!AN32+AF32</f>
        <v>1667</v>
      </c>
      <c r="AD32" s="297">
        <f>кмс!AQ32+МАКС!AQ32+сол!AQ32</f>
        <v>0</v>
      </c>
      <c r="AE32" s="189">
        <f>[4]межа!$AG$124</f>
        <v>121</v>
      </c>
      <c r="AF32">
        <v>167</v>
      </c>
    </row>
    <row r="33" spans="1:32" ht="15" x14ac:dyDescent="0.2">
      <c r="A33" s="66">
        <v>25</v>
      </c>
      <c r="B33" s="67" t="s">
        <v>235</v>
      </c>
      <c r="C33" s="189">
        <f t="shared" si="25"/>
        <v>17416.666666666664</v>
      </c>
      <c r="D33" s="189">
        <f>кмс!D33+МАКС!D33+сол!D33+иногор!D33</f>
        <v>16590</v>
      </c>
      <c r="E33" s="190">
        <f>ROUND(D33/C33*100,1)</f>
        <v>95.3</v>
      </c>
      <c r="F33" s="189">
        <f t="shared" si="26"/>
        <v>9166.6666666666679</v>
      </c>
      <c r="G33" s="189">
        <f>кмс!G33+МАКС!G33+сол!G33+иногор!G33</f>
        <v>8479</v>
      </c>
      <c r="H33" s="191">
        <f t="shared" si="16"/>
        <v>92.5</v>
      </c>
      <c r="I33" s="189">
        <f t="shared" si="27"/>
        <v>1833.3333333333333</v>
      </c>
      <c r="J33" s="189">
        <f>кмс!J33+МАКС!J33+сол!J33+иногор!J33</f>
        <v>622</v>
      </c>
      <c r="K33" s="191">
        <f t="shared" si="18"/>
        <v>33.9</v>
      </c>
      <c r="L33" s="189">
        <f t="shared" si="28"/>
        <v>63250</v>
      </c>
      <c r="M33" s="262">
        <f>кмс!M33+МАКС!M33+сол!M33+иногор!M33</f>
        <v>64078.009999999995</v>
      </c>
      <c r="N33" s="191">
        <f t="shared" si="10"/>
        <v>101.3</v>
      </c>
      <c r="O33" s="189">
        <f t="shared" si="29"/>
        <v>25666.666666666668</v>
      </c>
      <c r="P33" s="189">
        <f>кмс!P33+МАКС!P33+сол!P33+иногор!P33</f>
        <v>22387</v>
      </c>
      <c r="Q33" s="191">
        <f t="shared" si="11"/>
        <v>87.2</v>
      </c>
      <c r="R33" s="189">
        <f t="shared" si="30"/>
        <v>4014.0833333333335</v>
      </c>
      <c r="S33" s="189">
        <f>кмс!S33+МАКС!S33+сол!S33+иногор!S33+AE33</f>
        <v>3802</v>
      </c>
      <c r="T33" s="191">
        <f t="shared" si="12"/>
        <v>94.7</v>
      </c>
      <c r="U33" s="189">
        <f t="shared" si="31"/>
        <v>0</v>
      </c>
      <c r="V33" s="189"/>
      <c r="W33" s="191"/>
      <c r="X33" s="297">
        <f>кмс!Y33+МАКС!Y33+сол!Y33</f>
        <v>19000</v>
      </c>
      <c r="Y33" s="297">
        <f>кмс!AB33+МАКС!AB33+сол!AB33</f>
        <v>10000</v>
      </c>
      <c r="Z33" s="297">
        <f>кмс!AE33+МАКС!AE33+сол!AE33</f>
        <v>2000</v>
      </c>
      <c r="AA33" s="297">
        <f>кмс!AH33+МАКС!AH33+сол!AH33</f>
        <v>69000</v>
      </c>
      <c r="AB33" s="297">
        <f>кмс!AK33+МАКС!AK33+сол!AK33</f>
        <v>28000</v>
      </c>
      <c r="AC33" s="297">
        <f>кмс!AN33+МАКС!AN33+сол!AN33+AF33</f>
        <v>4379</v>
      </c>
      <c r="AD33" s="297">
        <f>кмс!AQ33+МАКС!AQ33+сол!AQ33</f>
        <v>0</v>
      </c>
      <c r="AE33" s="189">
        <f>[2]нея!$AG$124</f>
        <v>157</v>
      </c>
      <c r="AF33">
        <v>179</v>
      </c>
    </row>
    <row r="34" spans="1:32" ht="15.75" x14ac:dyDescent="0.25">
      <c r="A34" s="391" t="s">
        <v>273</v>
      </c>
      <c r="B34" s="392"/>
      <c r="C34" s="279">
        <f>SUM(C35:C41)</f>
        <v>126499.99999999999</v>
      </c>
      <c r="D34" s="279">
        <f>SUM(D35:D41)</f>
        <v>118437</v>
      </c>
      <c r="E34" s="187">
        <f>ROUND(D34/C34*100,1)</f>
        <v>93.6</v>
      </c>
      <c r="F34" s="279">
        <f>SUM(F35:F41)</f>
        <v>56833.333333333336</v>
      </c>
      <c r="G34" s="279">
        <f>SUM(G35:G41)</f>
        <v>45179</v>
      </c>
      <c r="H34" s="188">
        <f>ROUND(G34/F34*100,1)</f>
        <v>79.5</v>
      </c>
      <c r="I34" s="279">
        <f>SUM(I35:I41)</f>
        <v>20166.666666666668</v>
      </c>
      <c r="J34" s="279">
        <f>SUM(J35:J41)</f>
        <v>8587</v>
      </c>
      <c r="K34" s="188">
        <f>ROUND(J34/I34*100,1)</f>
        <v>42.6</v>
      </c>
      <c r="L34" s="279">
        <f>SUM(L35:L41)</f>
        <v>446416.66666666663</v>
      </c>
      <c r="M34" s="279">
        <f>SUM(M35:M41)</f>
        <v>430144.35000000009</v>
      </c>
      <c r="N34" s="193">
        <f t="shared" si="10"/>
        <v>96.4</v>
      </c>
      <c r="O34" s="279">
        <f>SUM(O35:O41)</f>
        <v>73333.333333333328</v>
      </c>
      <c r="P34" s="279">
        <f>SUM(P35:P41)</f>
        <v>59100.57</v>
      </c>
      <c r="Q34" s="193">
        <f t="shared" si="11"/>
        <v>80.599999999999994</v>
      </c>
      <c r="R34" s="279">
        <f>SUM(R35:R41)</f>
        <v>25643.749999999996</v>
      </c>
      <c r="S34" s="279">
        <f>SUM(S35:S41)</f>
        <v>22587</v>
      </c>
      <c r="T34" s="193">
        <f t="shared" si="12"/>
        <v>88.1</v>
      </c>
      <c r="U34" s="279">
        <f>SUM(U35:U41)</f>
        <v>306.16666666666663</v>
      </c>
      <c r="V34" s="279">
        <f>SUM(V35:V41)</f>
        <v>325</v>
      </c>
      <c r="W34" s="193">
        <f>ROUND(V34/U34*100,1)</f>
        <v>106.2</v>
      </c>
      <c r="X34" s="282">
        <f>SUM(X35:X41)</f>
        <v>138000</v>
      </c>
      <c r="Y34" s="282">
        <f t="shared" ref="Y34:AD34" si="32">SUM(Y35:Y41)</f>
        <v>62000</v>
      </c>
      <c r="Z34" s="282">
        <f t="shared" si="32"/>
        <v>22000</v>
      </c>
      <c r="AA34" s="282">
        <f t="shared" si="32"/>
        <v>487000</v>
      </c>
      <c r="AB34" s="301">
        <f t="shared" si="32"/>
        <v>80000</v>
      </c>
      <c r="AC34" s="356">
        <f t="shared" si="32"/>
        <v>27975</v>
      </c>
      <c r="AD34" s="282">
        <f t="shared" si="32"/>
        <v>334</v>
      </c>
      <c r="AE34" s="192">
        <f>SUM(AE35:AE41)</f>
        <v>882</v>
      </c>
      <c r="AF34" s="192">
        <f>SUM(AF35:AF41)</f>
        <v>1075</v>
      </c>
    </row>
    <row r="35" spans="1:32" ht="15" x14ac:dyDescent="0.2">
      <c r="A35" s="66">
        <v>26</v>
      </c>
      <c r="B35" s="67" t="s">
        <v>207</v>
      </c>
      <c r="C35" s="189">
        <f t="shared" ref="C35:C41" si="33">X35/12*11</f>
        <v>95333.333333333328</v>
      </c>
      <c r="D35" s="189">
        <f>кмс!D35+МАКС!D35+сол!D35+иногор!D35</f>
        <v>92934</v>
      </c>
      <c r="E35" s="190">
        <f>ROUND(D35/C35*100,1)</f>
        <v>97.5</v>
      </c>
      <c r="F35" s="189">
        <f t="shared" ref="F35:F41" si="34">Y35/12*11</f>
        <v>11916.666666666666</v>
      </c>
      <c r="G35" s="189">
        <f>кмс!G35+МАКС!G35+сол!G35+иногор!G35</f>
        <v>10349</v>
      </c>
      <c r="H35" s="191">
        <f t="shared" si="16"/>
        <v>86.8</v>
      </c>
      <c r="I35" s="189">
        <f t="shared" ref="I35:I41" si="35">Z35/12*11</f>
        <v>5500</v>
      </c>
      <c r="J35" s="189">
        <f>кмс!J35+МАКС!J35+сол!J35+иногор!J35</f>
        <v>1940</v>
      </c>
      <c r="K35" s="191">
        <f t="shared" si="18"/>
        <v>35.299999999999997</v>
      </c>
      <c r="L35" s="189">
        <f t="shared" ref="L35:L41" si="36">AA35/12*11</f>
        <v>261250</v>
      </c>
      <c r="M35" s="262">
        <f>кмс!M35+МАКС!M35+сол!M35+иногор!M35</f>
        <v>255400.63999999998</v>
      </c>
      <c r="N35" s="191">
        <f t="shared" si="10"/>
        <v>97.8</v>
      </c>
      <c r="O35" s="189">
        <f t="shared" ref="O35:O41" si="37">AB35/12*11</f>
        <v>31166.666666666668</v>
      </c>
      <c r="P35" s="189">
        <f>кмс!P35+МАКС!P35+сол!P35+иногор!P35</f>
        <v>26275.989999999998</v>
      </c>
      <c r="Q35" s="191">
        <f t="shared" si="11"/>
        <v>84.3</v>
      </c>
      <c r="R35" s="189">
        <f t="shared" ref="R35:R41" si="38">AC35/12*11</f>
        <v>13313.666666666666</v>
      </c>
      <c r="S35" s="189">
        <f>кмс!S35+МАКС!S35+сол!S35+иногор!S35+AE35</f>
        <v>12087</v>
      </c>
      <c r="T35" s="191">
        <f t="shared" si="12"/>
        <v>90.8</v>
      </c>
      <c r="U35" s="189">
        <f t="shared" ref="U35:U41" si="39">AD35/12*11</f>
        <v>306.16666666666663</v>
      </c>
      <c r="V35" s="189">
        <f>кмс!V35+МАКС!V35+сол!V35+иногор!V35</f>
        <v>325</v>
      </c>
      <c r="W35" s="191">
        <f>ROUND(V35/U35*100,1)</f>
        <v>106.2</v>
      </c>
      <c r="X35" s="297">
        <f>кмс!Y35+МАКС!Y35+сол!Y35</f>
        <v>104000</v>
      </c>
      <c r="Y35" s="297">
        <f>кмс!AB35+МАКС!AB35+сол!AB35</f>
        <v>13000</v>
      </c>
      <c r="Z35" s="297">
        <f>кмс!AE35+МАКС!AE35+сол!AE35</f>
        <v>6000</v>
      </c>
      <c r="AA35" s="297">
        <f>кмс!AH35+МАКС!AH35+сол!AH35</f>
        <v>285000</v>
      </c>
      <c r="AB35" s="297">
        <f>кмс!AK35+МАКС!AK35+сол!AK35</f>
        <v>34000</v>
      </c>
      <c r="AC35" s="297">
        <f>кмс!AN35+МАКС!AN35+сол!AN35+AF35</f>
        <v>14524</v>
      </c>
      <c r="AD35" s="297">
        <f>кмс!AQ35+МАКС!AQ35+сол!AQ35</f>
        <v>334</v>
      </c>
      <c r="AE35" s="189">
        <f>[3]ШАР!$AG$124</f>
        <v>262</v>
      </c>
      <c r="AF35">
        <v>324</v>
      </c>
    </row>
    <row r="36" spans="1:32" ht="15" x14ac:dyDescent="0.2">
      <c r="A36" s="67">
        <v>27</v>
      </c>
      <c r="B36" s="67" t="s">
        <v>236</v>
      </c>
      <c r="C36" s="189">
        <f t="shared" si="33"/>
        <v>4125</v>
      </c>
      <c r="D36" s="189">
        <f>кмс!D36+МАКС!D36+сол!D36+иногор!D36</f>
        <v>2999</v>
      </c>
      <c r="E36" s="190">
        <f t="shared" ref="E36:E45" si="40">ROUND(D36/C36*100,1)</f>
        <v>72.7</v>
      </c>
      <c r="F36" s="189">
        <f t="shared" si="34"/>
        <v>11000</v>
      </c>
      <c r="G36" s="189">
        <f>кмс!G36+МАКС!G36+сол!G36+иногор!G36</f>
        <v>9363</v>
      </c>
      <c r="H36" s="191">
        <f t="shared" ref="H36:H41" si="41">ROUND(G36/F36*100,1)</f>
        <v>85.1</v>
      </c>
      <c r="I36" s="189">
        <f t="shared" si="35"/>
        <v>3666.6666666666665</v>
      </c>
      <c r="J36" s="189">
        <f>кмс!J36+МАКС!J36+сол!J36+иногор!J36</f>
        <v>2367</v>
      </c>
      <c r="K36" s="191">
        <f t="shared" si="18"/>
        <v>64.599999999999994</v>
      </c>
      <c r="L36" s="189">
        <f t="shared" si="36"/>
        <v>34833.333333333328</v>
      </c>
      <c r="M36" s="262">
        <f>кмс!M36+МАКС!M36+сол!M36+иногор!M36</f>
        <v>33725.24</v>
      </c>
      <c r="N36" s="191">
        <f t="shared" si="10"/>
        <v>96.8</v>
      </c>
      <c r="O36" s="189">
        <f t="shared" si="37"/>
        <v>8250</v>
      </c>
      <c r="P36" s="189">
        <f>кмс!P36+МАКС!P36+сол!P36+иногор!P36</f>
        <v>6786</v>
      </c>
      <c r="Q36" s="191">
        <f t="shared" si="11"/>
        <v>82.3</v>
      </c>
      <c r="R36" s="189">
        <f t="shared" si="38"/>
        <v>1334.6666666666665</v>
      </c>
      <c r="S36" s="189">
        <f>кмс!S36+МАКС!S36+сол!S36+иногор!S36+AE36</f>
        <v>1042</v>
      </c>
      <c r="T36" s="191">
        <f t="shared" si="12"/>
        <v>78.099999999999994</v>
      </c>
      <c r="U36" s="189">
        <f t="shared" si="39"/>
        <v>0</v>
      </c>
      <c r="V36" s="189"/>
      <c r="W36" s="191"/>
      <c r="X36" s="297">
        <f>кмс!Y36+МАКС!Y36+сол!Y36</f>
        <v>4500</v>
      </c>
      <c r="Y36" s="297">
        <f>кмс!AB36+МАКС!AB36+сол!AB36</f>
        <v>12000</v>
      </c>
      <c r="Z36" s="297">
        <f>кмс!AE36+МАКС!AE36+сол!AE36</f>
        <v>4000</v>
      </c>
      <c r="AA36" s="297">
        <f>кмс!AH36+МАКС!AH36+сол!AH36</f>
        <v>38000</v>
      </c>
      <c r="AB36" s="297">
        <f>кмс!AK36+МАКС!AK36+сол!AK36</f>
        <v>9000</v>
      </c>
      <c r="AC36" s="297">
        <f>кмс!AN36+МАКС!AN36+сол!AN36+AF36</f>
        <v>1456</v>
      </c>
      <c r="AD36" s="297">
        <f>кмс!AQ36+МАКС!AQ36+сол!AQ36</f>
        <v>0</v>
      </c>
      <c r="AE36" s="189">
        <f>[3]РОЖД!$AG$124</f>
        <v>50</v>
      </c>
      <c r="AF36">
        <v>56</v>
      </c>
    </row>
    <row r="37" spans="1:32" ht="15" x14ac:dyDescent="0.2">
      <c r="A37" s="66">
        <v>28</v>
      </c>
      <c r="B37" s="68" t="s">
        <v>237</v>
      </c>
      <c r="C37" s="189">
        <f t="shared" si="33"/>
        <v>4125</v>
      </c>
      <c r="D37" s="189">
        <f>кмс!D37+МАКС!D37+сол!D37+иногор!D37</f>
        <v>3038</v>
      </c>
      <c r="E37" s="190">
        <f t="shared" si="40"/>
        <v>73.599999999999994</v>
      </c>
      <c r="F37" s="189">
        <f t="shared" si="34"/>
        <v>6416.666666666667</v>
      </c>
      <c r="G37" s="189">
        <f>кмс!G37+МАКС!G37+сол!G37+иногор!G37</f>
        <v>4677</v>
      </c>
      <c r="H37" s="191">
        <f t="shared" si="41"/>
        <v>72.900000000000006</v>
      </c>
      <c r="I37" s="189">
        <f t="shared" si="35"/>
        <v>2750</v>
      </c>
      <c r="J37" s="189">
        <f>кмс!J37+МАКС!J37+сол!J37+иногор!J37</f>
        <v>1092</v>
      </c>
      <c r="K37" s="191">
        <f t="shared" si="18"/>
        <v>39.700000000000003</v>
      </c>
      <c r="L37" s="189">
        <f t="shared" si="36"/>
        <v>33000</v>
      </c>
      <c r="M37" s="262">
        <f>кмс!M37+МАКС!M37+сол!M37+иногор!M37</f>
        <v>31196.530000000002</v>
      </c>
      <c r="N37" s="191">
        <f t="shared" si="10"/>
        <v>94.5</v>
      </c>
      <c r="O37" s="189">
        <f t="shared" si="37"/>
        <v>6416.666666666667</v>
      </c>
      <c r="P37" s="189">
        <f>кмс!P37+МАКС!P37+сол!P37+иногор!P37</f>
        <v>4977.58</v>
      </c>
      <c r="Q37" s="191">
        <f t="shared" si="11"/>
        <v>77.599999999999994</v>
      </c>
      <c r="R37" s="189">
        <f t="shared" si="38"/>
        <v>2665.666666666667</v>
      </c>
      <c r="S37" s="189">
        <f>кмс!S37+МАКС!S37+сол!S37+иногор!S37+AE37</f>
        <v>2363</v>
      </c>
      <c r="T37" s="191">
        <f t="shared" si="12"/>
        <v>88.6</v>
      </c>
      <c r="U37" s="189">
        <f t="shared" si="39"/>
        <v>0</v>
      </c>
      <c r="V37" s="189"/>
      <c r="W37" s="191"/>
      <c r="X37" s="297">
        <f>кмс!Y37+МАКС!Y37+сол!Y37</f>
        <v>4500</v>
      </c>
      <c r="Y37" s="297">
        <f>кмс!AB37+МАКС!AB37+сол!AB37</f>
        <v>7000</v>
      </c>
      <c r="Z37" s="297">
        <f>кмс!AE37+МАКС!AE37+сол!AE37</f>
        <v>3000</v>
      </c>
      <c r="AA37" s="297">
        <f>кмс!AH37+МАКС!AH37+сол!AH37</f>
        <v>36000</v>
      </c>
      <c r="AB37" s="297">
        <f>кмс!AK37+МАКС!AK37+сол!AK37</f>
        <v>7000</v>
      </c>
      <c r="AC37" s="297">
        <f>кмс!AN37+МАКС!AN37+сол!AN37+AF37</f>
        <v>2908</v>
      </c>
      <c r="AD37" s="297">
        <f>кмс!AQ37+МАКС!AQ37+сол!AQ37</f>
        <v>0</v>
      </c>
      <c r="AE37" s="189">
        <f>[3]ПОНАЗ!$AG$124</f>
        <v>87</v>
      </c>
      <c r="AF37">
        <v>108</v>
      </c>
    </row>
    <row r="38" spans="1:32" ht="15" x14ac:dyDescent="0.2">
      <c r="A38" s="66">
        <v>29</v>
      </c>
      <c r="B38" s="67" t="s">
        <v>238</v>
      </c>
      <c r="C38" s="189">
        <f t="shared" si="33"/>
        <v>3208.3333333333335</v>
      </c>
      <c r="D38" s="189">
        <f>кмс!D38+МАКС!D38+сол!D38+иногор!D38</f>
        <v>2375</v>
      </c>
      <c r="E38" s="190">
        <f t="shared" si="40"/>
        <v>74</v>
      </c>
      <c r="F38" s="189">
        <f t="shared" si="34"/>
        <v>5500</v>
      </c>
      <c r="G38" s="189">
        <f>кмс!G38+МАКС!G38+сол!G38+иногор!G38</f>
        <v>3903</v>
      </c>
      <c r="H38" s="191">
        <f t="shared" si="41"/>
        <v>71</v>
      </c>
      <c r="I38" s="189">
        <f t="shared" si="35"/>
        <v>1833.3333333333333</v>
      </c>
      <c r="J38" s="189">
        <f>кмс!J38+МАКС!J38+сол!J38+иногор!J38</f>
        <v>502</v>
      </c>
      <c r="K38" s="191">
        <f t="shared" si="18"/>
        <v>27.4</v>
      </c>
      <c r="L38" s="189">
        <f t="shared" si="36"/>
        <v>22916.666666666668</v>
      </c>
      <c r="M38" s="262">
        <f>кмс!M38+МАКС!M38+сол!M38+иногор!M38</f>
        <v>21800.95</v>
      </c>
      <c r="N38" s="191">
        <f t="shared" si="10"/>
        <v>95.1</v>
      </c>
      <c r="O38" s="189">
        <f t="shared" si="37"/>
        <v>6416.666666666667</v>
      </c>
      <c r="P38" s="189">
        <f>кмс!P38+МАКС!P38+сол!P38+иногор!P38</f>
        <v>5057</v>
      </c>
      <c r="Q38" s="191">
        <f t="shared" si="11"/>
        <v>78.8</v>
      </c>
      <c r="R38" s="189">
        <f t="shared" si="38"/>
        <v>1877.3333333333333</v>
      </c>
      <c r="S38" s="189">
        <f>кмс!S38+МАКС!S38+сол!S38+иногор!S38+AE38</f>
        <v>1558</v>
      </c>
      <c r="T38" s="191">
        <f t="shared" si="12"/>
        <v>83</v>
      </c>
      <c r="U38" s="189">
        <f t="shared" si="39"/>
        <v>0</v>
      </c>
      <c r="V38" s="189"/>
      <c r="W38" s="191"/>
      <c r="X38" s="297">
        <f>кмс!Y38+МАКС!Y38+сол!Y38</f>
        <v>3500</v>
      </c>
      <c r="Y38" s="297">
        <f>кмс!AB38+МАКС!AB38+сол!AB38</f>
        <v>6000</v>
      </c>
      <c r="Z38" s="297">
        <f>кмс!AE38+МАКС!AE38+сол!AE38</f>
        <v>2000</v>
      </c>
      <c r="AA38" s="297">
        <f>кмс!AH38+МАКС!AH38+сол!AH38</f>
        <v>25000</v>
      </c>
      <c r="AB38" s="297">
        <f>кмс!AK38+МАКС!AK38+сол!AK38</f>
        <v>7000</v>
      </c>
      <c r="AC38" s="297">
        <f>кмс!AN38+МАКС!AN38+сол!AN38+AF38</f>
        <v>2048</v>
      </c>
      <c r="AD38" s="297">
        <f>кмс!AQ38+МАКС!AQ38+сол!AQ38</f>
        <v>0</v>
      </c>
      <c r="AE38" s="189">
        <f>[2]пыщ!$AG$124</f>
        <v>288</v>
      </c>
      <c r="AF38">
        <v>348</v>
      </c>
    </row>
    <row r="39" spans="1:32" ht="15" x14ac:dyDescent="0.2">
      <c r="A39" s="66">
        <v>30</v>
      </c>
      <c r="B39" s="67" t="s">
        <v>239</v>
      </c>
      <c r="C39" s="189">
        <f t="shared" si="33"/>
        <v>3208.3333333333335</v>
      </c>
      <c r="D39" s="189">
        <f>кмс!D39+МАКС!D39+сол!D39+иногор!D39</f>
        <v>2376</v>
      </c>
      <c r="E39" s="190">
        <f t="shared" si="40"/>
        <v>74.099999999999994</v>
      </c>
      <c r="F39" s="189">
        <f t="shared" si="34"/>
        <v>5500</v>
      </c>
      <c r="G39" s="189">
        <f>кмс!G39+МАКС!G39+сол!G39+иногор!G39</f>
        <v>4019</v>
      </c>
      <c r="H39" s="191">
        <f t="shared" si="41"/>
        <v>73.099999999999994</v>
      </c>
      <c r="I39" s="189">
        <f t="shared" si="35"/>
        <v>1833.3333333333333</v>
      </c>
      <c r="J39" s="189">
        <f>кмс!J39+МАКС!J39+сол!J39+иногор!J39</f>
        <v>706</v>
      </c>
      <c r="K39" s="191">
        <f t="shared" si="18"/>
        <v>38.5</v>
      </c>
      <c r="L39" s="189">
        <f t="shared" si="36"/>
        <v>15583.333333333334</v>
      </c>
      <c r="M39" s="262">
        <f>кмс!M39+МАКС!M39+сол!M39+иногор!M39</f>
        <v>13979.46</v>
      </c>
      <c r="N39" s="191">
        <f t="shared" si="10"/>
        <v>89.7</v>
      </c>
      <c r="O39" s="189">
        <f t="shared" si="37"/>
        <v>5500</v>
      </c>
      <c r="P39" s="189">
        <f>кмс!P39+МАКС!P39+сол!P39+иногор!P39</f>
        <v>3970</v>
      </c>
      <c r="Q39" s="191">
        <f t="shared" si="11"/>
        <v>72.2</v>
      </c>
      <c r="R39" s="189">
        <f t="shared" si="38"/>
        <v>1779.25</v>
      </c>
      <c r="S39" s="189">
        <f>кмс!S39+МАКС!S39+сол!S39+иногор!S39+AE39</f>
        <v>1441</v>
      </c>
      <c r="T39" s="191">
        <f t="shared" si="12"/>
        <v>81</v>
      </c>
      <c r="U39" s="189">
        <f t="shared" si="39"/>
        <v>0</v>
      </c>
      <c r="V39" s="189"/>
      <c r="W39" s="191"/>
      <c r="X39" s="297">
        <f>кмс!Y39+МАКС!Y39+сол!Y39</f>
        <v>3500</v>
      </c>
      <c r="Y39" s="297">
        <f>кмс!AB39+МАКС!AB39+сол!AB39</f>
        <v>6000</v>
      </c>
      <c r="Z39" s="297">
        <f>кмс!AE39+МАКС!AE39+сол!AE39</f>
        <v>2000</v>
      </c>
      <c r="AA39" s="297">
        <f>кмс!AH39+МАКС!AH39+сол!AH39</f>
        <v>17000</v>
      </c>
      <c r="AB39" s="297">
        <f>кмс!AK39+МАКС!AK39+сол!AK39</f>
        <v>6000</v>
      </c>
      <c r="AC39" s="297">
        <f>кмс!AN39+МАКС!AN39+сол!AN39+AF39</f>
        <v>1941</v>
      </c>
      <c r="AD39" s="297">
        <f>кмс!AQ39+МАКС!AQ39+сол!AQ39</f>
        <v>0</v>
      </c>
      <c r="AE39" s="189">
        <f>[2]пав!$AG$124</f>
        <v>40</v>
      </c>
      <c r="AF39">
        <v>41</v>
      </c>
    </row>
    <row r="40" spans="1:32" ht="15" x14ac:dyDescent="0.2">
      <c r="A40" s="66">
        <v>31</v>
      </c>
      <c r="B40" s="67" t="s">
        <v>240</v>
      </c>
      <c r="C40" s="189">
        <f t="shared" si="33"/>
        <v>13291.666666666666</v>
      </c>
      <c r="D40" s="189">
        <f>кмс!D40+МАКС!D40+сол!D40+иногор!D40</f>
        <v>12287</v>
      </c>
      <c r="E40" s="190">
        <f t="shared" si="40"/>
        <v>92.4</v>
      </c>
      <c r="F40" s="189">
        <f t="shared" si="34"/>
        <v>9166.6666666666679</v>
      </c>
      <c r="G40" s="189">
        <f>кмс!G40+МАКС!G40+сол!G40+иногор!G40</f>
        <v>7651</v>
      </c>
      <c r="H40" s="191">
        <f t="shared" si="41"/>
        <v>83.5</v>
      </c>
      <c r="I40" s="189">
        <f t="shared" si="35"/>
        <v>1833.3333333333333</v>
      </c>
      <c r="J40" s="189">
        <f>кмс!J40+МАКС!J40+сол!J40+иногор!J40</f>
        <v>680</v>
      </c>
      <c r="K40" s="191">
        <f t="shared" si="18"/>
        <v>37.1</v>
      </c>
      <c r="L40" s="189">
        <f t="shared" si="36"/>
        <v>35750</v>
      </c>
      <c r="M40" s="262">
        <f>кмс!M40+МАКС!M40+сол!M40+иногор!M40</f>
        <v>34631.379999999997</v>
      </c>
      <c r="N40" s="191">
        <f t="shared" si="10"/>
        <v>96.9</v>
      </c>
      <c r="O40" s="189">
        <f t="shared" si="37"/>
        <v>8250</v>
      </c>
      <c r="P40" s="189">
        <f>кмс!P40+МАКС!P40+сол!P40+иногор!P40</f>
        <v>6835</v>
      </c>
      <c r="Q40" s="191">
        <f t="shared" si="11"/>
        <v>82.8</v>
      </c>
      <c r="R40" s="189">
        <f t="shared" si="38"/>
        <v>3054.3333333333335</v>
      </c>
      <c r="S40" s="189">
        <f>кмс!S40+МАКС!S40+сол!S40+иногор!S40+AE40</f>
        <v>2758</v>
      </c>
      <c r="T40" s="191">
        <f t="shared" si="12"/>
        <v>90.3</v>
      </c>
      <c r="U40" s="189">
        <f t="shared" si="39"/>
        <v>0</v>
      </c>
      <c r="V40" s="189"/>
      <c r="W40" s="191"/>
      <c r="X40" s="297">
        <f>кмс!Y40+МАКС!Y40+сол!Y40</f>
        <v>14500</v>
      </c>
      <c r="Y40" s="297">
        <f>кмс!AB40+МАКС!AB40+сол!AB40</f>
        <v>10000</v>
      </c>
      <c r="Z40" s="297">
        <f>кмс!AE40+МАКС!AE40+сол!AE40</f>
        <v>2000</v>
      </c>
      <c r="AA40" s="297">
        <f>кмс!AH40+МАКС!AH40+сол!AH40</f>
        <v>39000</v>
      </c>
      <c r="AB40" s="297">
        <f>кмс!AK40+МАКС!AK40+сол!AK40</f>
        <v>9000</v>
      </c>
      <c r="AC40" s="297">
        <f>кмс!AN40+МАКС!AN40+сол!AN40+AF40</f>
        <v>3332</v>
      </c>
      <c r="AD40" s="297">
        <f>кмс!AQ40+МАКС!AQ40+сол!AQ40</f>
        <v>0</v>
      </c>
      <c r="AE40" s="189">
        <f>[4]вохма!$AG$124</f>
        <v>101</v>
      </c>
      <c r="AF40">
        <v>132</v>
      </c>
    </row>
    <row r="41" spans="1:32" ht="15" x14ac:dyDescent="0.2">
      <c r="A41" s="66">
        <v>32</v>
      </c>
      <c r="B41" s="67" t="s">
        <v>241</v>
      </c>
      <c r="C41" s="189">
        <f t="shared" si="33"/>
        <v>3208.3333333333335</v>
      </c>
      <c r="D41" s="189">
        <f>кмс!D41+МАКС!D41+сол!D41+иногор!D41</f>
        <v>2428</v>
      </c>
      <c r="E41" s="190">
        <f t="shared" si="40"/>
        <v>75.7</v>
      </c>
      <c r="F41" s="189">
        <f t="shared" si="34"/>
        <v>7333.333333333333</v>
      </c>
      <c r="G41" s="189">
        <f>кмс!G41+МАКС!G41+сол!G41+иногор!G41</f>
        <v>5217</v>
      </c>
      <c r="H41" s="191">
        <f t="shared" si="41"/>
        <v>71.099999999999994</v>
      </c>
      <c r="I41" s="189">
        <f t="shared" si="35"/>
        <v>2750</v>
      </c>
      <c r="J41" s="189">
        <f>кмс!J41+МАКС!J41+сол!J41+иногор!J41</f>
        <v>1300</v>
      </c>
      <c r="K41" s="191">
        <f t="shared" si="18"/>
        <v>47.3</v>
      </c>
      <c r="L41" s="189">
        <f t="shared" si="36"/>
        <v>43083.333333333328</v>
      </c>
      <c r="M41" s="262">
        <f>кмс!M41+МАКС!M41+сол!M41+иногор!M41</f>
        <v>39410.150000000009</v>
      </c>
      <c r="N41" s="191">
        <f t="shared" si="10"/>
        <v>91.5</v>
      </c>
      <c r="O41" s="189">
        <f t="shared" si="37"/>
        <v>7333.333333333333</v>
      </c>
      <c r="P41" s="189">
        <f>кмс!P41+МАКС!P41+сол!P41+иногор!P41</f>
        <v>5199</v>
      </c>
      <c r="Q41" s="191">
        <f t="shared" si="11"/>
        <v>70.900000000000006</v>
      </c>
      <c r="R41" s="189">
        <f t="shared" si="38"/>
        <v>1618.8333333333333</v>
      </c>
      <c r="S41" s="189">
        <f>кмс!S41+МАКС!S41+сол!S41+иногор!S41+AE41</f>
        <v>1338</v>
      </c>
      <c r="T41" s="191">
        <f t="shared" si="12"/>
        <v>82.7</v>
      </c>
      <c r="U41" s="189">
        <f t="shared" si="39"/>
        <v>0</v>
      </c>
      <c r="V41" s="189"/>
      <c r="W41" s="191"/>
      <c r="X41" s="297">
        <f>кмс!Y41+МАКС!Y41+сол!Y41</f>
        <v>3500</v>
      </c>
      <c r="Y41" s="297">
        <f>кмс!AB41+МАКС!AB41+сол!AB41</f>
        <v>8000</v>
      </c>
      <c r="Z41" s="297">
        <f>кмс!AE41+МАКС!AE41+сол!AE41</f>
        <v>3000</v>
      </c>
      <c r="AA41" s="297">
        <f>кмс!AH41+МАКС!AH41+сол!AH41</f>
        <v>47000</v>
      </c>
      <c r="AB41" s="297">
        <f>кмс!AK41+МАКС!AK41+сол!AK41</f>
        <v>8000</v>
      </c>
      <c r="AC41" s="297">
        <f>кмс!AN41+МАКС!AN41+сол!AN41+AF41</f>
        <v>1766</v>
      </c>
      <c r="AD41" s="297">
        <f>кмс!AQ41+МАКС!AQ41+сол!AQ41</f>
        <v>0</v>
      </c>
      <c r="AE41" s="189">
        <f>[4]богов!$AG$124</f>
        <v>54</v>
      </c>
      <c r="AF41">
        <v>66</v>
      </c>
    </row>
    <row r="42" spans="1:32" ht="15.75" x14ac:dyDescent="0.25">
      <c r="A42" s="391" t="s">
        <v>269</v>
      </c>
      <c r="B42" s="392"/>
      <c r="C42" s="279">
        <f>SUM(C43:C48)</f>
        <v>330253.91666666669</v>
      </c>
      <c r="D42" s="279">
        <f>SUM(D43:D48)</f>
        <v>325137</v>
      </c>
      <c r="E42" s="187">
        <f t="shared" si="40"/>
        <v>98.5</v>
      </c>
      <c r="F42" s="279">
        <f>SUM(F43:F48)</f>
        <v>120083.33333333334</v>
      </c>
      <c r="G42" s="279">
        <f>SUM(G43:G48)</f>
        <v>104136</v>
      </c>
      <c r="H42" s="188">
        <f>ROUND(G42/F42*100,1)</f>
        <v>86.7</v>
      </c>
      <c r="I42" s="279">
        <f>SUM(I43:I48)</f>
        <v>55793.833333333328</v>
      </c>
      <c r="J42" s="279">
        <f>SUM(J43:J48)</f>
        <v>50178</v>
      </c>
      <c r="K42" s="188">
        <f>ROUND(J42/I42*100,1)</f>
        <v>89.9</v>
      </c>
      <c r="L42" s="279">
        <f>SUM(L43:L48)</f>
        <v>999174</v>
      </c>
      <c r="M42" s="279">
        <f>SUM(M43:M48)</f>
        <v>988182.20000000007</v>
      </c>
      <c r="N42" s="193">
        <f t="shared" si="10"/>
        <v>98.9</v>
      </c>
      <c r="O42" s="279">
        <f>SUM(O43:O48)</f>
        <v>213583.33333333334</v>
      </c>
      <c r="P42" s="279">
        <f>SUM(P43:P48)</f>
        <v>185079.03</v>
      </c>
      <c r="Q42" s="193">
        <f t="shared" si="11"/>
        <v>86.7</v>
      </c>
      <c r="R42" s="279">
        <f>SUM(R43:R48)</f>
        <v>87303.333333333343</v>
      </c>
      <c r="S42" s="279">
        <f>SUM(S43:S48)</f>
        <v>86314</v>
      </c>
      <c r="T42" s="193">
        <f t="shared" si="12"/>
        <v>98.9</v>
      </c>
      <c r="U42" s="279">
        <f>SUM(U43:U48)</f>
        <v>6700.833333333333</v>
      </c>
      <c r="V42" s="279">
        <f>SUM(V43:V48)</f>
        <v>6777</v>
      </c>
      <c r="W42" s="193">
        <f>ROUND(V42/U42*100,1)</f>
        <v>101.1</v>
      </c>
      <c r="X42" s="282">
        <f t="shared" ref="X42:AD42" si="42">SUM(X43:X48)</f>
        <v>360277</v>
      </c>
      <c r="Y42" s="282">
        <f t="shared" si="42"/>
        <v>131000</v>
      </c>
      <c r="Z42" s="282">
        <f t="shared" si="42"/>
        <v>60866</v>
      </c>
      <c r="AA42" s="282">
        <f t="shared" si="42"/>
        <v>1090008</v>
      </c>
      <c r="AB42" s="301">
        <f t="shared" si="42"/>
        <v>233000</v>
      </c>
      <c r="AC42" s="282">
        <f t="shared" si="42"/>
        <v>95240</v>
      </c>
      <c r="AD42" s="282">
        <f t="shared" si="42"/>
        <v>7310</v>
      </c>
      <c r="AE42" s="192">
        <f>SUM(AE43:AE48)</f>
        <v>23147</v>
      </c>
      <c r="AF42" s="192">
        <f>SUM(AF43:AF48)</f>
        <v>28953</v>
      </c>
    </row>
    <row r="43" spans="1:32" ht="15" x14ac:dyDescent="0.2">
      <c r="A43" s="66">
        <v>33</v>
      </c>
      <c r="B43" s="67" t="s">
        <v>208</v>
      </c>
      <c r="C43" s="189">
        <f t="shared" ref="C43:C48" si="43">X43/12*11</f>
        <v>36666.666666666672</v>
      </c>
      <c r="D43" s="189">
        <f>кмс!D43+МАКС!D43+сол!D43+иногор!D43</f>
        <v>36876</v>
      </c>
      <c r="E43" s="190">
        <f t="shared" si="40"/>
        <v>100.6</v>
      </c>
      <c r="F43" s="189">
        <f t="shared" ref="F43:F48" si="44">Y43/12*11</f>
        <v>7333.333333333333</v>
      </c>
      <c r="G43" s="189">
        <f>кмс!G43+МАКС!G43+сол!G43+иногор!G43</f>
        <v>5357</v>
      </c>
      <c r="H43" s="191">
        <f>ROUND(G43/F43*100,1)</f>
        <v>73.099999999999994</v>
      </c>
      <c r="I43" s="189">
        <f t="shared" ref="I43:I48" si="45">Z43/12*11</f>
        <v>0</v>
      </c>
      <c r="J43" s="189">
        <f>кмс!J43+МАКС!J43+сол!J43+иногор!J43</f>
        <v>0</v>
      </c>
      <c r="K43" s="191"/>
      <c r="L43" s="189">
        <f t="shared" ref="L43:L48" si="46">AA43/12*11</f>
        <v>56833.333333333336</v>
      </c>
      <c r="M43" s="262">
        <f>кмс!M43+МАКС!M43+сол!M43+иногор!M43</f>
        <v>54456.99</v>
      </c>
      <c r="N43" s="191">
        <f t="shared" ref="N43:N58" si="47">ROUND(M43/L43*100,1)</f>
        <v>95.8</v>
      </c>
      <c r="O43" s="189">
        <f t="shared" ref="O43:O48" si="48">AB43/12*11</f>
        <v>0</v>
      </c>
      <c r="P43" s="189">
        <f>кмс!P43+МАКС!P43+сол!P43+иногор!P43</f>
        <v>0</v>
      </c>
      <c r="Q43" s="191"/>
      <c r="R43" s="189">
        <f t="shared" ref="R43:R48" si="49">AC43/12*11</f>
        <v>0</v>
      </c>
      <c r="S43" s="189">
        <f>кмс!S43+МАКС!S43+сол!S43+иногор!S43+AE43</f>
        <v>0</v>
      </c>
      <c r="T43" s="191"/>
      <c r="U43" s="189">
        <f t="shared" ref="U43:U48" si="50">AD43/12*11</f>
        <v>0</v>
      </c>
      <c r="V43" s="189"/>
      <c r="W43" s="191"/>
      <c r="X43" s="297">
        <f>кмс!Y43+МАКС!Y43+сол!Y43</f>
        <v>40000</v>
      </c>
      <c r="Y43" s="297">
        <f>кмс!AB43+МАКС!AB43+сол!AB43</f>
        <v>8000</v>
      </c>
      <c r="Z43" s="297">
        <f>кмс!AE43+МАКС!AE43+сол!AE43</f>
        <v>0</v>
      </c>
      <c r="AA43" s="297">
        <f>кмс!AH43+МАКС!AH43+сол!AH43</f>
        <v>62000</v>
      </c>
      <c r="AB43" s="297">
        <f>кмс!AK43+МАКС!AK43+сол!AK43</f>
        <v>0</v>
      </c>
      <c r="AC43" s="297">
        <f>кмс!AN43+МАКС!AN43+сол!AN43+AF43</f>
        <v>0</v>
      </c>
      <c r="AD43" s="297">
        <f>кмс!AQ43+МАКС!AQ43+сол!AQ43</f>
        <v>0</v>
      </c>
      <c r="AE43" s="189">
        <f>[4]роддом!$AG$124</f>
        <v>0</v>
      </c>
    </row>
    <row r="44" spans="1:32" ht="15" x14ac:dyDescent="0.2">
      <c r="A44" s="66">
        <v>34</v>
      </c>
      <c r="B44" s="67" t="s">
        <v>260</v>
      </c>
      <c r="C44" s="189">
        <f t="shared" si="43"/>
        <v>93500</v>
      </c>
      <c r="D44" s="189">
        <f>кмс!D44+МАКС!D44+сол!D44+иногор!D44</f>
        <v>92562</v>
      </c>
      <c r="E44" s="190">
        <f t="shared" si="40"/>
        <v>99</v>
      </c>
      <c r="F44" s="189">
        <f t="shared" si="44"/>
        <v>61416.666666666664</v>
      </c>
      <c r="G44" s="189">
        <f>кмс!G44+МАКС!G44+сол!G44+иногор!G44</f>
        <v>53080</v>
      </c>
      <c r="H44" s="191">
        <f>ROUND(G44/F44*100,1)</f>
        <v>86.4</v>
      </c>
      <c r="I44" s="189">
        <f t="shared" si="45"/>
        <v>36543.833333333328</v>
      </c>
      <c r="J44" s="189">
        <f>кмс!J44+МАКС!J44+сол!J44+иногор!J44</f>
        <v>34207</v>
      </c>
      <c r="K44" s="191">
        <f>ROUND(J44/I44*100,1)</f>
        <v>93.6</v>
      </c>
      <c r="L44" s="189">
        <f t="shared" si="46"/>
        <v>411957.33333333331</v>
      </c>
      <c r="M44" s="262">
        <f>кмс!M44+МАКС!M44+сол!M44+иногор!M44</f>
        <v>396580</v>
      </c>
      <c r="N44" s="191">
        <f t="shared" si="47"/>
        <v>96.3</v>
      </c>
      <c r="O44" s="189">
        <f t="shared" si="48"/>
        <v>86166.666666666657</v>
      </c>
      <c r="P44" s="189">
        <f>кмс!P44+МАКС!P44+сол!P44+иногор!P44</f>
        <v>77924</v>
      </c>
      <c r="Q44" s="191">
        <f t="shared" ref="Q44:Q58" si="51">ROUND(P44/O44*100,1)</f>
        <v>90.4</v>
      </c>
      <c r="R44" s="189">
        <f t="shared" si="49"/>
        <v>0</v>
      </c>
      <c r="S44" s="189">
        <f>кмс!S44+МАКС!S44+сол!S44+иногор!S44+AE44</f>
        <v>0</v>
      </c>
      <c r="T44" s="191"/>
      <c r="U44" s="189">
        <f t="shared" si="50"/>
        <v>6700.833333333333</v>
      </c>
      <c r="V44" s="189">
        <f>кмс!V44+МАКС!V44+сол!V44+иногор!V44</f>
        <v>6777</v>
      </c>
      <c r="W44" s="191">
        <f>ROUND(V44/U44*100,1)</f>
        <v>101.1</v>
      </c>
      <c r="X44" s="297">
        <f>кмс!Y44+МАКС!Y44+сол!Y44</f>
        <v>102000</v>
      </c>
      <c r="Y44" s="297">
        <f>кмс!AB44+МАКС!AB44+сол!AB44</f>
        <v>67000</v>
      </c>
      <c r="Z44" s="297">
        <f>кмс!AE44+МАКС!AE44+сол!AE44</f>
        <v>39866</v>
      </c>
      <c r="AA44" s="297">
        <f>кмс!AH44+МАКС!AH44+сол!AH44</f>
        <v>449408</v>
      </c>
      <c r="AB44" s="297">
        <f>кмс!AK44+МАКС!AK44+сол!AK44</f>
        <v>94000</v>
      </c>
      <c r="AC44" s="297">
        <f>кмс!AN44+МАКС!AN44+сол!AN44+AF44</f>
        <v>0</v>
      </c>
      <c r="AD44" s="297">
        <f>кмс!AQ44+МАКС!AQ44+сол!AQ44</f>
        <v>7310</v>
      </c>
      <c r="AE44" s="189">
        <f>[2]муз1!$AG$124</f>
        <v>0</v>
      </c>
    </row>
    <row r="45" spans="1:32" ht="15" x14ac:dyDescent="0.2">
      <c r="A45" s="66">
        <v>35</v>
      </c>
      <c r="B45" s="67" t="s">
        <v>210</v>
      </c>
      <c r="C45" s="189">
        <f t="shared" si="43"/>
        <v>200087.25</v>
      </c>
      <c r="D45" s="189">
        <f>кмс!D45+МАКС!D45+сол!D45+иногор!D45</f>
        <v>195699</v>
      </c>
      <c r="E45" s="190">
        <f t="shared" si="40"/>
        <v>97.8</v>
      </c>
      <c r="F45" s="189">
        <f t="shared" si="44"/>
        <v>33916.666666666672</v>
      </c>
      <c r="G45" s="189">
        <f>кмс!G45+МАКС!G45+сол!G45+иногор!G45</f>
        <v>31057</v>
      </c>
      <c r="H45" s="191">
        <f>ROUND(G45/F45*100,1)</f>
        <v>91.6</v>
      </c>
      <c r="I45" s="189">
        <f t="shared" si="45"/>
        <v>9166.6666666666679</v>
      </c>
      <c r="J45" s="189">
        <f>кмс!J45+МАКС!J45+сол!J45+иногор!J45</f>
        <v>7639</v>
      </c>
      <c r="K45" s="191">
        <f>ROUND(J45/I45*100,1)</f>
        <v>83.3</v>
      </c>
      <c r="L45" s="189">
        <f t="shared" si="46"/>
        <v>291133.33333333337</v>
      </c>
      <c r="M45" s="262">
        <f>кмс!M45+МАКС!M45+сол!M45+иногор!M45</f>
        <v>274411.86000000004</v>
      </c>
      <c r="N45" s="191">
        <f t="shared" si="47"/>
        <v>94.3</v>
      </c>
      <c r="O45" s="189">
        <f t="shared" si="48"/>
        <v>81583.333333333343</v>
      </c>
      <c r="P45" s="189">
        <f>кмс!P45+МАКС!P45+сол!P45+иногор!P45</f>
        <v>75456</v>
      </c>
      <c r="Q45" s="191">
        <f t="shared" si="51"/>
        <v>92.5</v>
      </c>
      <c r="R45" s="189">
        <f t="shared" si="49"/>
        <v>0</v>
      </c>
      <c r="S45" s="189">
        <f>кмс!S45+МАКС!S45+сол!S45+иногор!S45+AE45</f>
        <v>0</v>
      </c>
      <c r="T45" s="191"/>
      <c r="U45" s="189">
        <f t="shared" si="50"/>
        <v>0</v>
      </c>
      <c r="V45" s="189"/>
      <c r="W45" s="191"/>
      <c r="X45" s="297">
        <v>218277</v>
      </c>
      <c r="Y45" s="297">
        <f>кмс!AB45+МАКС!AB45+сол!AB45</f>
        <v>37000</v>
      </c>
      <c r="Z45" s="297">
        <f>кмс!AE45+МАКС!AE45+сол!AE45</f>
        <v>10000</v>
      </c>
      <c r="AA45" s="297">
        <f>кмс!AH45+МАКС!AH45+сол!AH45</f>
        <v>317600</v>
      </c>
      <c r="AB45" s="297">
        <f>кмс!AK45+МАКС!AK45+сол!AK45</f>
        <v>89000</v>
      </c>
      <c r="AC45" s="297">
        <f>кмс!AN45+МАКС!AN45+сол!AN45+AF45</f>
        <v>0</v>
      </c>
      <c r="AD45" s="297">
        <f>кмс!AQ45+МАКС!AQ45+сол!AQ45</f>
        <v>0</v>
      </c>
      <c r="AE45" s="189">
        <f>'[4]муз2 '!$AG$124</f>
        <v>0</v>
      </c>
    </row>
    <row r="46" spans="1:32" ht="15" x14ac:dyDescent="0.2">
      <c r="A46" s="66">
        <v>36</v>
      </c>
      <c r="B46" s="67" t="s">
        <v>212</v>
      </c>
      <c r="C46" s="189">
        <f t="shared" si="43"/>
        <v>0</v>
      </c>
      <c r="D46" s="189">
        <f>кмс!D46+МАКС!D46+сол!D46+иногор!D46</f>
        <v>0</v>
      </c>
      <c r="E46" s="190"/>
      <c r="F46" s="189">
        <f t="shared" si="44"/>
        <v>17416.666666666664</v>
      </c>
      <c r="G46" s="189">
        <f>кмс!G46+МАКС!G46+сол!G46+иногор!G46</f>
        <v>14642</v>
      </c>
      <c r="H46" s="191">
        <f>ROUND(G46/F46*100,1)</f>
        <v>84.1</v>
      </c>
      <c r="I46" s="189">
        <f t="shared" si="45"/>
        <v>10083.333333333332</v>
      </c>
      <c r="J46" s="189">
        <f>кмс!J46+МАКС!J46+сол!J46+иногор!J46</f>
        <v>8332</v>
      </c>
      <c r="K46" s="191">
        <f>ROUND(J46/I46*100,1)</f>
        <v>82.6</v>
      </c>
      <c r="L46" s="189">
        <f t="shared" si="46"/>
        <v>100833.33333333333</v>
      </c>
      <c r="M46" s="262">
        <f>кмс!M46+МАКС!M46+сол!M46+иногор!M46</f>
        <v>100623</v>
      </c>
      <c r="N46" s="191">
        <f t="shared" si="47"/>
        <v>99.8</v>
      </c>
      <c r="O46" s="189">
        <f t="shared" si="48"/>
        <v>27500</v>
      </c>
      <c r="P46" s="189">
        <f>кмс!P46+МАКС!P46+сол!P46+иногор!P46</f>
        <v>25274</v>
      </c>
      <c r="Q46" s="191">
        <f t="shared" si="51"/>
        <v>91.9</v>
      </c>
      <c r="R46" s="189">
        <f t="shared" si="49"/>
        <v>0</v>
      </c>
      <c r="S46" s="189">
        <f>кмс!S46+МАКС!S46+сол!S46+иногор!S46+AE46</f>
        <v>0</v>
      </c>
      <c r="T46" s="191"/>
      <c r="U46" s="189">
        <f t="shared" si="50"/>
        <v>0</v>
      </c>
      <c r="V46" s="189"/>
      <c r="W46" s="191"/>
      <c r="X46" s="297">
        <f>кмс!Y46+МАКС!Y46+сол!Y46</f>
        <v>0</v>
      </c>
      <c r="Y46" s="297">
        <f>кмс!AB46+МАКС!AB46+сол!AB46</f>
        <v>19000</v>
      </c>
      <c r="Z46" s="297">
        <f>кмс!AE46+МАКС!AE46+сол!AE46</f>
        <v>11000</v>
      </c>
      <c r="AA46" s="297">
        <f>кмс!AH46+МАКС!AH46+сол!AH46</f>
        <v>110000</v>
      </c>
      <c r="AB46" s="297">
        <f>кмс!AK46+МАКС!AK46+сол!AK46</f>
        <v>30000</v>
      </c>
      <c r="AC46" s="297">
        <f>кмс!AN46+МАКС!AN46+сол!AN46+AF46</f>
        <v>0</v>
      </c>
      <c r="AD46" s="297">
        <f>кмс!AQ46+МАКС!AQ46+сол!AQ46</f>
        <v>0</v>
      </c>
      <c r="AE46" s="189">
        <f>[4]полик4!$AG$124</f>
        <v>0</v>
      </c>
    </row>
    <row r="47" spans="1:32" ht="15" x14ac:dyDescent="0.2">
      <c r="A47" s="66">
        <v>37</v>
      </c>
      <c r="B47" s="141" t="s">
        <v>252</v>
      </c>
      <c r="C47" s="189">
        <f t="shared" si="43"/>
        <v>0</v>
      </c>
      <c r="D47" s="189">
        <f>кмс!D47+МАКС!D47+сол!D47+иногор!D47</f>
        <v>0</v>
      </c>
      <c r="E47" s="190"/>
      <c r="F47" s="189">
        <f t="shared" si="44"/>
        <v>0</v>
      </c>
      <c r="G47" s="189">
        <f>кмс!G47+МАКС!G47+сол!G47+иногор!G47</f>
        <v>0</v>
      </c>
      <c r="H47" s="191"/>
      <c r="I47" s="189">
        <f t="shared" si="45"/>
        <v>0</v>
      </c>
      <c r="J47" s="189">
        <f>кмс!J47+МАКС!J47+сол!J47+иногор!J47</f>
        <v>0</v>
      </c>
      <c r="K47" s="191"/>
      <c r="L47" s="189">
        <f t="shared" si="46"/>
        <v>138416.66666666669</v>
      </c>
      <c r="M47" s="262">
        <f>кмс!M47+МАКС!M47+сол!M47+иногор!M47</f>
        <v>162110.35</v>
      </c>
      <c r="N47" s="191">
        <f t="shared" si="47"/>
        <v>117.1</v>
      </c>
      <c r="O47" s="189">
        <f t="shared" si="48"/>
        <v>18333.333333333336</v>
      </c>
      <c r="P47" s="189">
        <f>кмс!P47+МАКС!P47+сол!P47+иногор!P47</f>
        <v>6425.03</v>
      </c>
      <c r="Q47" s="191">
        <f t="shared" si="51"/>
        <v>35</v>
      </c>
      <c r="R47" s="189">
        <f t="shared" si="49"/>
        <v>0</v>
      </c>
      <c r="S47" s="189">
        <f>кмс!S47+МАКС!S47+сол!S47+иногор!S47+AE47</f>
        <v>0</v>
      </c>
      <c r="T47" s="191"/>
      <c r="U47" s="189">
        <f t="shared" si="50"/>
        <v>0</v>
      </c>
      <c r="V47" s="189"/>
      <c r="W47" s="191"/>
      <c r="X47" s="297">
        <f>кмс!Y47+МАКС!Y47+сол!Y47</f>
        <v>0</v>
      </c>
      <c r="Y47" s="297">
        <f>кмс!AB47+МАКС!AB47+сол!AB47</f>
        <v>0</v>
      </c>
      <c r="Z47" s="297">
        <f>кмс!AE47+МАКС!AE47+сол!AE47</f>
        <v>0</v>
      </c>
      <c r="AA47" s="297">
        <f>кмс!AH47+МАКС!AH47+сол!AH47</f>
        <v>151000</v>
      </c>
      <c r="AB47" s="297">
        <f>кмс!AK47+МАКС!AK47+сол!AK47</f>
        <v>20000</v>
      </c>
      <c r="AC47" s="297">
        <f>кмс!AN47+МАКС!AN47+сол!AN47+AF47</f>
        <v>0</v>
      </c>
      <c r="AD47" s="297">
        <f>кмс!AQ47+МАКС!AQ47+сол!AQ47</f>
        <v>0</v>
      </c>
      <c r="AE47" s="189"/>
    </row>
    <row r="48" spans="1:32" ht="15" x14ac:dyDescent="0.2">
      <c r="A48" s="66">
        <v>38</v>
      </c>
      <c r="B48" s="141" t="s">
        <v>218</v>
      </c>
      <c r="C48" s="189">
        <f t="shared" si="43"/>
        <v>0</v>
      </c>
      <c r="D48" s="189">
        <f>кмс!D48+МАКС!D48+сол!D48+иногор!D48</f>
        <v>0</v>
      </c>
      <c r="E48" s="190"/>
      <c r="F48" s="189">
        <f t="shared" si="44"/>
        <v>0</v>
      </c>
      <c r="G48" s="189">
        <f>кмс!G48+МАКС!G48+сол!G48+иногор!G48</f>
        <v>0</v>
      </c>
      <c r="H48" s="191"/>
      <c r="I48" s="189">
        <f t="shared" si="45"/>
        <v>0</v>
      </c>
      <c r="J48" s="189">
        <f>кмс!J48+МАКС!J48+сол!J48+иногор!J48</f>
        <v>0</v>
      </c>
      <c r="K48" s="191"/>
      <c r="L48" s="189">
        <f t="shared" si="46"/>
        <v>0</v>
      </c>
      <c r="M48" s="262">
        <f>кмс!M48+МАКС!M48+сол!M48+иногор!M48</f>
        <v>0</v>
      </c>
      <c r="N48" s="191"/>
      <c r="O48" s="189">
        <f t="shared" si="48"/>
        <v>0</v>
      </c>
      <c r="P48" s="189">
        <f>кмс!P48+МАКС!P48+сол!P48+иногор!P48</f>
        <v>0</v>
      </c>
      <c r="Q48" s="191"/>
      <c r="R48" s="189">
        <f t="shared" si="49"/>
        <v>87303.333333333343</v>
      </c>
      <c r="S48" s="189">
        <f>кмс!S48+МАКС!S48+сол!S48+иногор!S48+AE48</f>
        <v>86314</v>
      </c>
      <c r="T48" s="191">
        <f>ROUND(S48/R48*100,1)</f>
        <v>98.9</v>
      </c>
      <c r="U48" s="189">
        <f t="shared" si="50"/>
        <v>0</v>
      </c>
      <c r="V48" s="189"/>
      <c r="W48" s="191"/>
      <c r="X48" s="297">
        <f>кмс!Y48+МАКС!Y48+сол!Y48</f>
        <v>0</v>
      </c>
      <c r="Y48" s="297">
        <f>кмс!AB48+МАКС!AB48+сол!AB48</f>
        <v>0</v>
      </c>
      <c r="Z48" s="297">
        <f>кмс!AE48+МАКС!AE48+сол!AE48</f>
        <v>0</v>
      </c>
      <c r="AA48" s="297">
        <f>кмс!AH48+МАКС!AH48+сол!AH48</f>
        <v>0</v>
      </c>
      <c r="AB48" s="297">
        <f>кмс!AK48+МАКС!AK48+сол!AK48</f>
        <v>0</v>
      </c>
      <c r="AC48" s="297">
        <f>кмс!AN48+МАКС!AN48+сол!AN48+AF48</f>
        <v>95240</v>
      </c>
      <c r="AD48" s="297">
        <f>кмс!AQ48+МАКС!AQ48+сол!AQ48</f>
        <v>0</v>
      </c>
      <c r="AE48" s="189">
        <f>[3]смп!$AG$124</f>
        <v>23147</v>
      </c>
      <c r="AF48">
        <v>28953</v>
      </c>
    </row>
    <row r="49" spans="1:32" ht="15.75" x14ac:dyDescent="0.25">
      <c r="A49" s="391" t="s">
        <v>270</v>
      </c>
      <c r="B49" s="392"/>
      <c r="C49" s="279">
        <f>SUM(C50:C56)</f>
        <v>136170.83333333334</v>
      </c>
      <c r="D49" s="279">
        <f>SUM(D50:D56)</f>
        <v>131843</v>
      </c>
      <c r="E49" s="187">
        <f>ROUND(D49/C49*100,1)</f>
        <v>96.8</v>
      </c>
      <c r="F49" s="279">
        <f>SUM(F50:F56)</f>
        <v>55000</v>
      </c>
      <c r="G49" s="279">
        <f>SUM(G50:G56)</f>
        <v>51190</v>
      </c>
      <c r="H49" s="188">
        <f>ROUND(G49/F49*100,1)</f>
        <v>93.1</v>
      </c>
      <c r="I49" s="279">
        <f>SUM(I50:I56)</f>
        <v>26583.333333333332</v>
      </c>
      <c r="J49" s="279">
        <f>SUM(J50:J56)</f>
        <v>17523</v>
      </c>
      <c r="K49" s="188">
        <f>ROUND(J49/I49*100,1)</f>
        <v>65.900000000000006</v>
      </c>
      <c r="L49" s="279">
        <f>SUM(L50:L56)</f>
        <v>541841.66666666663</v>
      </c>
      <c r="M49" s="279">
        <f>SUM(M50:M56)</f>
        <v>542776.02</v>
      </c>
      <c r="N49" s="193">
        <f>ROUND(M49/L49*100,1)</f>
        <v>100.2</v>
      </c>
      <c r="O49" s="279">
        <f>SUM(O50:O56)</f>
        <v>170500</v>
      </c>
      <c r="P49" s="279">
        <f>SUM(P50:P56)</f>
        <v>151536</v>
      </c>
      <c r="Q49" s="193">
        <f>ROUND(P49/O49*100,1)</f>
        <v>88.9</v>
      </c>
      <c r="R49" s="279">
        <f>SUM(R50:R56)</f>
        <v>28123.333333333336</v>
      </c>
      <c r="S49" s="279">
        <f>SUM(S50:S56)</f>
        <v>26901</v>
      </c>
      <c r="T49" s="193">
        <f>ROUND(S49/R49*100,1)</f>
        <v>95.7</v>
      </c>
      <c r="U49" s="279">
        <f>SUM(U50:U56)</f>
        <v>0</v>
      </c>
      <c r="V49" s="279">
        <f>SUM(V50:V56)</f>
        <v>0</v>
      </c>
      <c r="W49" s="279">
        <f>SUM(W50:W56)</f>
        <v>0</v>
      </c>
      <c r="X49" s="296">
        <f t="shared" ref="X49:AD49" si="52">SUM(X50:X56)</f>
        <v>148550</v>
      </c>
      <c r="Y49" s="296">
        <f t="shared" si="52"/>
        <v>60000</v>
      </c>
      <c r="Z49" s="296">
        <f t="shared" si="52"/>
        <v>29000</v>
      </c>
      <c r="AA49" s="296">
        <f t="shared" si="52"/>
        <v>591100</v>
      </c>
      <c r="AB49" s="302">
        <f t="shared" si="52"/>
        <v>186000</v>
      </c>
      <c r="AC49" s="296">
        <f t="shared" si="52"/>
        <v>30680</v>
      </c>
      <c r="AD49" s="296">
        <f t="shared" si="52"/>
        <v>0</v>
      </c>
      <c r="AE49" s="192">
        <f>SUM(AE50:AE56)</f>
        <v>2126</v>
      </c>
      <c r="AF49" s="192">
        <f>SUM(AF50:AF56)</f>
        <v>2380</v>
      </c>
    </row>
    <row r="50" spans="1:32" ht="15" x14ac:dyDescent="0.2">
      <c r="A50" s="352">
        <v>39</v>
      </c>
      <c r="B50" s="77" t="s">
        <v>213</v>
      </c>
      <c r="C50" s="189">
        <f t="shared" ref="C50:C56" si="53">X50/12*11</f>
        <v>55916.666666666664</v>
      </c>
      <c r="D50" s="189">
        <f>кмс!D50+МАКС!D50+сол!D50+иногор!D50</f>
        <v>53993</v>
      </c>
      <c r="E50" s="190">
        <f>ROUND(D50/C50*100,1)</f>
        <v>96.6</v>
      </c>
      <c r="F50" s="189">
        <f t="shared" ref="F50:F56" si="54">Y50/12*11</f>
        <v>9166.6666666666679</v>
      </c>
      <c r="G50" s="189">
        <f>кмс!G50+МАКС!G50+сол!G50+иногор!G50</f>
        <v>8169</v>
      </c>
      <c r="H50" s="191">
        <f>ROUND(G50/F50*100,1)</f>
        <v>89.1</v>
      </c>
      <c r="I50" s="189">
        <f t="shared" ref="I50:I56" si="55">Z50/12*11</f>
        <v>4583.3333333333339</v>
      </c>
      <c r="J50" s="189">
        <f>кмс!J50+МАКС!J50+сол!J50+иногор!J50</f>
        <v>2862</v>
      </c>
      <c r="K50" s="191">
        <f>ROUND(J50/I50*100,1)</f>
        <v>62.4</v>
      </c>
      <c r="L50" s="189">
        <f t="shared" ref="L50:L56" si="56">AA50/12*11</f>
        <v>134750</v>
      </c>
      <c r="M50" s="262">
        <f>кмс!M50+МАКС!M50+сол!M50+иногор!M50</f>
        <v>130673.20000000001</v>
      </c>
      <c r="N50" s="191">
        <f>ROUND(M50/L50*100,1)</f>
        <v>97</v>
      </c>
      <c r="O50" s="189">
        <f t="shared" ref="O50:O56" si="57">AB50/12*11</f>
        <v>40333.333333333328</v>
      </c>
      <c r="P50" s="189">
        <f>кмс!P50+МАКС!P50+сол!P50+иногор!P50</f>
        <v>35120</v>
      </c>
      <c r="Q50" s="191">
        <f>ROUND(P50/O50*100,1)</f>
        <v>87.1</v>
      </c>
      <c r="R50" s="189">
        <f t="shared" ref="R50:R56" si="58">AC50/12*11</f>
        <v>0</v>
      </c>
      <c r="S50" s="189">
        <f>кмс!S50+МАКС!S50+сол!S50+иногор!S50+AE50</f>
        <v>0</v>
      </c>
      <c r="T50" s="191"/>
      <c r="U50" s="189">
        <f t="shared" ref="U50:U56" si="59">AD50/12*11</f>
        <v>0</v>
      </c>
      <c r="V50" s="189"/>
      <c r="W50" s="191"/>
      <c r="X50" s="297">
        <f>кмс!Y50+МАКС!Y50+сол!Y50</f>
        <v>61000</v>
      </c>
      <c r="Y50" s="297">
        <f>кмс!AB50+МАКС!AB50+сол!AB50</f>
        <v>10000</v>
      </c>
      <c r="Z50" s="297">
        <f>кмс!AE50+МАКС!AE50+сол!AE50</f>
        <v>5000</v>
      </c>
      <c r="AA50" s="297">
        <f>кмс!AH50+МАКС!AH50+сол!AH50</f>
        <v>147000</v>
      </c>
      <c r="AB50" s="297">
        <f>кмс!AK50+МАКС!AK50+сол!AK50</f>
        <v>44000</v>
      </c>
      <c r="AC50" s="297">
        <f>кмс!AN50+МАКС!AN50+сол!AN50+AF50</f>
        <v>0</v>
      </c>
      <c r="AD50" s="297">
        <f>кмс!AQ50+МАКС!AQ50+сол!AQ50</f>
        <v>0</v>
      </c>
      <c r="AE50" s="189">
        <f>[2]костр!$AG$124</f>
        <v>0</v>
      </c>
      <c r="AF50" s="130"/>
    </row>
    <row r="51" spans="1:32" ht="15" x14ac:dyDescent="0.2">
      <c r="A51" s="352">
        <v>40</v>
      </c>
      <c r="B51" s="77" t="s">
        <v>275</v>
      </c>
      <c r="C51" s="189">
        <f t="shared" si="53"/>
        <v>26629.166666666668</v>
      </c>
      <c r="D51" s="189">
        <f>кмс!D51+МАКС!D51+сол!D51+иногор!D51</f>
        <v>26582</v>
      </c>
      <c r="E51" s="190">
        <f>ROUND(D51/C51*100,1)</f>
        <v>99.8</v>
      </c>
      <c r="F51" s="189">
        <f t="shared" si="54"/>
        <v>10083.333333333332</v>
      </c>
      <c r="G51" s="189">
        <f>кмс!G51+МАКС!G51+сол!G51+иногор!G51</f>
        <v>8985</v>
      </c>
      <c r="H51" s="191">
        <f>ROUND(G50/F50*100,1)</f>
        <v>89.1</v>
      </c>
      <c r="I51" s="189">
        <f t="shared" si="55"/>
        <v>2750</v>
      </c>
      <c r="J51" s="189">
        <f>кмс!J51+МАКС!J51+сол!J51+иногор!J51</f>
        <v>1146</v>
      </c>
      <c r="K51" s="191">
        <f>ROUND(J51/I51*100,1)</f>
        <v>41.7</v>
      </c>
      <c r="L51" s="189">
        <f t="shared" si="56"/>
        <v>77091.666666666657</v>
      </c>
      <c r="M51" s="262">
        <f>кмс!M51+МАКС!M51+сол!M51+иногор!M51</f>
        <v>82954.710000000021</v>
      </c>
      <c r="N51" s="191">
        <f>ROUND(M51/L51*100,1)</f>
        <v>107.6</v>
      </c>
      <c r="O51" s="189">
        <f t="shared" si="57"/>
        <v>27500</v>
      </c>
      <c r="P51" s="189">
        <f>кмс!P51+МАКС!P51+сол!P51+иногор!P51</f>
        <v>26156</v>
      </c>
      <c r="Q51" s="191">
        <f>ROUND(P51/O51*100,1)</f>
        <v>95.1</v>
      </c>
      <c r="R51" s="189">
        <f t="shared" si="58"/>
        <v>5317.5833333333339</v>
      </c>
      <c r="S51" s="189">
        <f>кмс!S51+МАКС!S51+сол!S51+иногор!S51+AE51</f>
        <v>5242</v>
      </c>
      <c r="T51" s="191">
        <f>ROUND(S51/R51*100,1)</f>
        <v>98.6</v>
      </c>
      <c r="U51" s="189">
        <f t="shared" si="59"/>
        <v>0</v>
      </c>
      <c r="V51" s="189"/>
      <c r="W51" s="191"/>
      <c r="X51" s="297">
        <v>29050</v>
      </c>
      <c r="Y51" s="297">
        <v>11000</v>
      </c>
      <c r="Z51" s="297">
        <f>кмс!AE51+МАКС!AE51+сол!AE51</f>
        <v>3000</v>
      </c>
      <c r="AA51" s="297">
        <f>кмс!AH51+МАКС!AH51+сол!AH51</f>
        <v>84100</v>
      </c>
      <c r="AB51" s="297">
        <f>кмс!AK51+МАКС!AK51+сол!AK51</f>
        <v>30000</v>
      </c>
      <c r="AC51" s="297">
        <f>кмс!AN51+МАКС!AN51+сол!AN51+AF51</f>
        <v>5801</v>
      </c>
      <c r="AD51" s="297">
        <f>кмс!AQ51+МАКС!AQ51+сол!AQ51</f>
        <v>0</v>
      </c>
      <c r="AE51" s="189">
        <f>[3]ВОЛГ!$AG$124</f>
        <v>226</v>
      </c>
      <c r="AF51">
        <v>201</v>
      </c>
    </row>
    <row r="52" spans="1:32" ht="15" x14ac:dyDescent="0.2">
      <c r="A52" s="67">
        <v>41</v>
      </c>
      <c r="B52" s="77" t="s">
        <v>243</v>
      </c>
      <c r="C52" s="189">
        <f t="shared" si="53"/>
        <v>3208.3333333333335</v>
      </c>
      <c r="D52" s="189">
        <f>кмс!D52+МАКС!D52+сол!D52+иногор!D52</f>
        <v>2531</v>
      </c>
      <c r="E52" s="190">
        <f>ROUND(D52/C52*100,1)</f>
        <v>78.900000000000006</v>
      </c>
      <c r="F52" s="189">
        <f t="shared" si="54"/>
        <v>5500</v>
      </c>
      <c r="G52" s="189">
        <f>кмс!G52+МАКС!G52+сол!G52+иногор!G52</f>
        <v>5327</v>
      </c>
      <c r="H52" s="191">
        <f>ROUND(G52/F52*100,1)</f>
        <v>96.9</v>
      </c>
      <c r="I52" s="189">
        <f t="shared" si="55"/>
        <v>2750</v>
      </c>
      <c r="J52" s="189">
        <f>кмс!J52+МАКС!J52+сол!J52+иногор!J52</f>
        <v>1752</v>
      </c>
      <c r="K52" s="191">
        <f>ROUND(J52/I52*100,1)</f>
        <v>63.7</v>
      </c>
      <c r="L52" s="189">
        <f t="shared" si="56"/>
        <v>62333.333333333336</v>
      </c>
      <c r="M52" s="262">
        <f>кмс!M52+МАКС!M52+сол!M52+иногор!M52</f>
        <v>59263.799999999996</v>
      </c>
      <c r="N52" s="191">
        <f t="shared" si="47"/>
        <v>95.1</v>
      </c>
      <c r="O52" s="189">
        <f t="shared" si="57"/>
        <v>23833.333333333332</v>
      </c>
      <c r="P52" s="189">
        <f>кмс!P52+МАКС!P52+сол!P52+иногор!P52</f>
        <v>20431</v>
      </c>
      <c r="Q52" s="191">
        <f t="shared" si="51"/>
        <v>85.7</v>
      </c>
      <c r="R52" s="189">
        <f t="shared" si="58"/>
        <v>5306.5833333333339</v>
      </c>
      <c r="S52" s="189">
        <f>кмс!S52+МАКС!S52+сол!S52+иногор!S52+AE52</f>
        <v>4892</v>
      </c>
      <c r="T52" s="191">
        <f>ROUND(S52/R52*100,1)</f>
        <v>92.2</v>
      </c>
      <c r="U52" s="189">
        <f t="shared" si="59"/>
        <v>0</v>
      </c>
      <c r="V52" s="189"/>
      <c r="W52" s="191"/>
      <c r="X52" s="297">
        <f>кмс!Y52+МАКС!Y52+сол!Y52</f>
        <v>3500</v>
      </c>
      <c r="Y52" s="297">
        <f>кмс!AB52+МАКС!AB52+сол!AB52</f>
        <v>6000</v>
      </c>
      <c r="Z52" s="297">
        <f>кмс!AE52+МАКС!AE52+сол!AE52</f>
        <v>3000</v>
      </c>
      <c r="AA52" s="297">
        <f>кмс!AH52+МАКС!AH52+сол!AH52</f>
        <v>68000</v>
      </c>
      <c r="AB52" s="297">
        <f>кмс!AK52+МАКС!AK52+сол!AK52</f>
        <v>26000</v>
      </c>
      <c r="AC52" s="297">
        <f>кмс!AN52+МАКС!AN52+сол!AN52+AF52</f>
        <v>5789</v>
      </c>
      <c r="AD52" s="297">
        <f>кмс!AQ52+МАКС!AQ52+сол!AQ52</f>
        <v>0</v>
      </c>
      <c r="AE52" s="189">
        <f>[4]красное!$AG$124</f>
        <v>332</v>
      </c>
      <c r="AF52">
        <v>389</v>
      </c>
    </row>
    <row r="53" spans="1:32" ht="15" x14ac:dyDescent="0.2">
      <c r="A53" s="66">
        <v>42</v>
      </c>
      <c r="B53" s="77" t="s">
        <v>244</v>
      </c>
      <c r="C53" s="189">
        <f t="shared" si="53"/>
        <v>40333.333333333328</v>
      </c>
      <c r="D53" s="189">
        <f>кмс!D53+МАКС!D53+сол!D53+иногор!D53</f>
        <v>39776</v>
      </c>
      <c r="E53" s="190">
        <f>ROUND(D53/C53*100,1)</f>
        <v>98.6</v>
      </c>
      <c r="F53" s="189">
        <f t="shared" si="54"/>
        <v>19250</v>
      </c>
      <c r="G53" s="189">
        <f>кмс!G53+МАКС!G53+сол!G53+иногор!G53</f>
        <v>18917</v>
      </c>
      <c r="H53" s="191">
        <f>ROUND(G53/F53*100,1)</f>
        <v>98.3</v>
      </c>
      <c r="I53" s="189">
        <f t="shared" si="55"/>
        <v>11916.666666666666</v>
      </c>
      <c r="J53" s="189">
        <f>кмс!J53+МАКС!J53+сол!J53+иногор!J53</f>
        <v>9916</v>
      </c>
      <c r="K53" s="191">
        <f>ROUND(J53/I53*100,1)</f>
        <v>83.2</v>
      </c>
      <c r="L53" s="189">
        <f t="shared" si="56"/>
        <v>120083.33333333333</v>
      </c>
      <c r="M53" s="262">
        <f>кмс!M53+МАКС!M53+сол!M53+иногор!M53</f>
        <v>119370.75</v>
      </c>
      <c r="N53" s="191">
        <f t="shared" si="47"/>
        <v>99.4</v>
      </c>
      <c r="O53" s="189">
        <f t="shared" si="57"/>
        <v>51333.333333333336</v>
      </c>
      <c r="P53" s="189">
        <f>кмс!P53+МАКС!P53+сол!P53+иногор!P53</f>
        <v>46862</v>
      </c>
      <c r="Q53" s="191">
        <f t="shared" si="51"/>
        <v>91.3</v>
      </c>
      <c r="R53" s="189">
        <f t="shared" si="58"/>
        <v>10538</v>
      </c>
      <c r="S53" s="189">
        <f>кмс!S53+МАКС!S53+сол!S53+иногор!S53+AE53</f>
        <v>10131</v>
      </c>
      <c r="T53" s="191">
        <f>ROUND(S53/R53*100,1)</f>
        <v>96.1</v>
      </c>
      <c r="U53" s="189">
        <f t="shared" si="59"/>
        <v>0</v>
      </c>
      <c r="V53" s="189"/>
      <c r="W53" s="191"/>
      <c r="X53" s="297">
        <f>кмс!Y53+МАКС!Y53+сол!Y53</f>
        <v>44000</v>
      </c>
      <c r="Y53" s="297">
        <f>кмс!AB53+МАКС!AB53+сол!AB53</f>
        <v>21000</v>
      </c>
      <c r="Z53" s="297">
        <f>кмс!AE53+МАКС!AE53+сол!AE53</f>
        <v>13000</v>
      </c>
      <c r="AA53" s="297">
        <f>кмс!AH53+МАКС!AH53+сол!AH53</f>
        <v>131000</v>
      </c>
      <c r="AB53" s="297">
        <f>кмс!AK53+МАКС!AK53+сол!AK53</f>
        <v>56000</v>
      </c>
      <c r="AC53" s="297">
        <f>кмс!AN53+МАКС!AN53+сол!AN53+AF53</f>
        <v>11496</v>
      </c>
      <c r="AD53" s="297">
        <f>кмс!AQ53+МАКС!AQ53+сол!AQ53</f>
        <v>0</v>
      </c>
      <c r="AE53" s="189">
        <f>[4]нерехта!$AG$124</f>
        <v>1229</v>
      </c>
      <c r="AF53">
        <v>1496</v>
      </c>
    </row>
    <row r="54" spans="1:32" ht="15" x14ac:dyDescent="0.2">
      <c r="A54" s="66">
        <v>43</v>
      </c>
      <c r="B54" s="77" t="s">
        <v>214</v>
      </c>
      <c r="C54" s="189">
        <f t="shared" si="53"/>
        <v>0</v>
      </c>
      <c r="D54" s="189">
        <f>кмс!D54+МАКС!D54+сол!D54+иногор!D54</f>
        <v>0</v>
      </c>
      <c r="E54" s="190"/>
      <c r="F54" s="189">
        <f t="shared" si="54"/>
        <v>0</v>
      </c>
      <c r="G54" s="189">
        <f>кмс!G54+МАКС!G54+сол!G54+иногор!G54</f>
        <v>0</v>
      </c>
      <c r="H54" s="191"/>
      <c r="I54" s="189">
        <f t="shared" si="55"/>
        <v>0</v>
      </c>
      <c r="J54" s="189">
        <f>кмс!J54+МАКС!J54+сол!J54+иногор!J54</f>
        <v>0</v>
      </c>
      <c r="K54" s="191"/>
      <c r="L54" s="189">
        <f t="shared" si="56"/>
        <v>38500</v>
      </c>
      <c r="M54" s="262">
        <f>кмс!M54+МАКС!M54+сол!M54+иногор!M54</f>
        <v>40523.560000000012</v>
      </c>
      <c r="N54" s="191">
        <f t="shared" si="47"/>
        <v>105.3</v>
      </c>
      <c r="O54" s="189">
        <f t="shared" si="57"/>
        <v>5500</v>
      </c>
      <c r="P54" s="189">
        <f>кмс!P54+МАКС!P54+сол!P54+иногор!P54</f>
        <v>2973</v>
      </c>
      <c r="Q54" s="191">
        <f t="shared" si="51"/>
        <v>54.1</v>
      </c>
      <c r="R54" s="189">
        <f t="shared" si="58"/>
        <v>0</v>
      </c>
      <c r="S54" s="189">
        <f>кмс!S54+МАКС!S54+сол!S54+иногор!S54+AE54</f>
        <v>0</v>
      </c>
      <c r="T54" s="191"/>
      <c r="U54" s="189">
        <f t="shared" si="59"/>
        <v>0</v>
      </c>
      <c r="V54" s="189"/>
      <c r="W54" s="191"/>
      <c r="X54" s="297">
        <f>кмс!Y54+МАКС!Y54+сол!Y54</f>
        <v>0</v>
      </c>
      <c r="Y54" s="297">
        <f>кмс!AB54+МАКС!AB54+сол!AB54</f>
        <v>0</v>
      </c>
      <c r="Z54" s="297">
        <f>кмс!AE54+МАКС!AE54+сол!AE54</f>
        <v>0</v>
      </c>
      <c r="AA54" s="297">
        <f>кмс!AH54+МАКС!AH54+сол!AH54</f>
        <v>42000</v>
      </c>
      <c r="AB54" s="297">
        <f>кмс!AK54+МАКС!AK54+сол!AK54</f>
        <v>6000</v>
      </c>
      <c r="AC54" s="297">
        <f>кмс!AN54+МАКС!AN54+сол!AN54+AF54</f>
        <v>0</v>
      </c>
      <c r="AD54" s="297">
        <f>кмс!AQ54+МАКС!AQ54+сол!AQ54</f>
        <v>0</v>
      </c>
      <c r="AE54" s="189">
        <f>[4]стомНер!$AG$124</f>
        <v>0</v>
      </c>
    </row>
    <row r="55" spans="1:32" ht="15" x14ac:dyDescent="0.2">
      <c r="A55" s="66">
        <v>44</v>
      </c>
      <c r="B55" s="77" t="s">
        <v>245</v>
      </c>
      <c r="C55" s="189">
        <f t="shared" si="53"/>
        <v>5500</v>
      </c>
      <c r="D55" s="189">
        <f>кмс!D55+МАКС!D55+сол!D55+иногор!D55</f>
        <v>5309</v>
      </c>
      <c r="E55" s="190">
        <f>ROUND(D55/C55*100,1)</f>
        <v>96.5</v>
      </c>
      <c r="F55" s="189">
        <f t="shared" si="54"/>
        <v>3666.6666666666665</v>
      </c>
      <c r="G55" s="189">
        <f>кмс!G55+МАКС!G55+сол!G55+иногор!G55</f>
        <v>3159</v>
      </c>
      <c r="H55" s="191">
        <f>ROUND(G55/F55*100,1)</f>
        <v>86.2</v>
      </c>
      <c r="I55" s="189">
        <f t="shared" si="55"/>
        <v>2750</v>
      </c>
      <c r="J55" s="189">
        <f>кмс!J55+МАКС!J55+сол!J55+иногор!J55</f>
        <v>1607</v>
      </c>
      <c r="K55" s="191">
        <f>ROUND(J55/I55*100,1)</f>
        <v>58.4</v>
      </c>
      <c r="L55" s="189">
        <f t="shared" si="56"/>
        <v>52250</v>
      </c>
      <c r="M55" s="262">
        <f>кмс!M55+МАКС!M55+сол!M55+иногор!M55</f>
        <v>50792.909999999989</v>
      </c>
      <c r="N55" s="191">
        <f t="shared" si="47"/>
        <v>97.2</v>
      </c>
      <c r="O55" s="189">
        <f t="shared" si="57"/>
        <v>10083.333333333332</v>
      </c>
      <c r="P55" s="189">
        <f>кмс!P55+МАКС!P55+сол!P55+иногор!P55</f>
        <v>9435</v>
      </c>
      <c r="Q55" s="191">
        <f t="shared" si="51"/>
        <v>93.6</v>
      </c>
      <c r="R55" s="189">
        <f t="shared" si="58"/>
        <v>3165.25</v>
      </c>
      <c r="S55" s="189">
        <f>кмс!S55+МАКС!S55+сол!S55+иногор!S55+AE55</f>
        <v>3043</v>
      </c>
      <c r="T55" s="191">
        <f>ROUND(S55/R55*100,1)</f>
        <v>96.1</v>
      </c>
      <c r="U55" s="189">
        <f t="shared" si="59"/>
        <v>0</v>
      </c>
      <c r="V55" s="189"/>
      <c r="W55" s="191"/>
      <c r="X55" s="297">
        <f>кмс!Y55+МАКС!Y55+сол!Y55</f>
        <v>6000</v>
      </c>
      <c r="Y55" s="297">
        <f>кмс!AB55+МАКС!AB55+сол!AB55</f>
        <v>4000</v>
      </c>
      <c r="Z55" s="297">
        <f>кмс!AE55+МАКС!AE55+сол!AE55</f>
        <v>3000</v>
      </c>
      <c r="AA55" s="297">
        <f>кмс!AH55+МАКС!AH55+сол!AH55</f>
        <v>57000</v>
      </c>
      <c r="AB55" s="297">
        <f>кмс!AK55+МАКС!AK55+сол!AK55</f>
        <v>11000</v>
      </c>
      <c r="AC55" s="297">
        <f>кмс!AN55+МАКС!AN55+сол!AN55+AF55</f>
        <v>3453</v>
      </c>
      <c r="AD55" s="297">
        <f>кмс!AQ55+МАКС!AQ55+сол!AQ55</f>
        <v>0</v>
      </c>
      <c r="AE55" s="189">
        <f>[3]ОСТР!$AG$124</f>
        <v>200</v>
      </c>
      <c r="AF55">
        <v>153</v>
      </c>
    </row>
    <row r="56" spans="1:32" ht="15" x14ac:dyDescent="0.2">
      <c r="A56" s="66">
        <v>45</v>
      </c>
      <c r="B56" s="77" t="s">
        <v>246</v>
      </c>
      <c r="C56" s="189">
        <f t="shared" si="53"/>
        <v>4583.3333333333339</v>
      </c>
      <c r="D56" s="189">
        <f>кмс!D56+МАКС!D56+сол!D56+иногор!D56</f>
        <v>3652</v>
      </c>
      <c r="E56" s="190">
        <f>ROUND(D56/C56*100,1)</f>
        <v>79.7</v>
      </c>
      <c r="F56" s="189">
        <f t="shared" si="54"/>
        <v>7333.333333333333</v>
      </c>
      <c r="G56" s="189">
        <f>кмс!G56+МАКС!G56+сол!G56+иногор!G56</f>
        <v>6633</v>
      </c>
      <c r="H56" s="191">
        <f>ROUND(G56/F56*100,1)</f>
        <v>90.5</v>
      </c>
      <c r="I56" s="189">
        <f t="shared" si="55"/>
        <v>1833.3333333333333</v>
      </c>
      <c r="J56" s="189">
        <f>кмс!J56+МАКС!J56+сол!J56+иногор!J56</f>
        <v>240</v>
      </c>
      <c r="K56" s="191"/>
      <c r="L56" s="189">
        <f t="shared" si="56"/>
        <v>56833.333333333336</v>
      </c>
      <c r="M56" s="262">
        <f>кмс!M56+МАКС!M56+сол!M56+иногор!M56</f>
        <v>59197.09</v>
      </c>
      <c r="N56" s="191">
        <f t="shared" si="47"/>
        <v>104.2</v>
      </c>
      <c r="O56" s="189">
        <f t="shared" si="57"/>
        <v>11916.666666666666</v>
      </c>
      <c r="P56" s="189">
        <f>кмс!P56+МАКС!P56+сол!P56+иногор!P56</f>
        <v>10559</v>
      </c>
      <c r="Q56" s="191">
        <f t="shared" si="51"/>
        <v>88.6</v>
      </c>
      <c r="R56" s="189">
        <f t="shared" si="58"/>
        <v>3795.9166666666665</v>
      </c>
      <c r="S56" s="189">
        <f>кмс!S56+МАКС!S56+сол!S56+иногор!S56+AE56</f>
        <v>3593</v>
      </c>
      <c r="T56" s="191">
        <f>ROUND(S56/R56*100,1)</f>
        <v>94.7</v>
      </c>
      <c r="U56" s="189">
        <f t="shared" si="59"/>
        <v>0</v>
      </c>
      <c r="V56" s="189"/>
      <c r="W56" s="191"/>
      <c r="X56" s="297">
        <f>кмс!Y56+МАКС!Y56+сол!Y56</f>
        <v>5000</v>
      </c>
      <c r="Y56" s="297">
        <f>кмс!AB56+МАКС!AB56+сол!AB56</f>
        <v>8000</v>
      </c>
      <c r="Z56" s="297">
        <f>кмс!AE56+МАКС!AE56+сол!AE56</f>
        <v>2000</v>
      </c>
      <c r="AA56" s="297">
        <f>кмс!AH56+МАКС!AH56+сол!AH56</f>
        <v>62000</v>
      </c>
      <c r="AB56" s="297">
        <f>кмс!AK56+МАКС!AK56+сол!AK56</f>
        <v>13000</v>
      </c>
      <c r="AC56" s="297">
        <f>кмс!AN56+МАКС!AN56+сол!AN56+AF56</f>
        <v>4141</v>
      </c>
      <c r="AD56" s="297">
        <f>кмс!AQ56+МАКС!AQ56+сол!AQ56</f>
        <v>0</v>
      </c>
      <c r="AE56" s="189">
        <f>[4]суд!$AG$124</f>
        <v>139</v>
      </c>
      <c r="AF56">
        <v>141</v>
      </c>
    </row>
    <row r="57" spans="1:32" ht="15.75" x14ac:dyDescent="0.25">
      <c r="A57" s="391" t="s">
        <v>276</v>
      </c>
      <c r="B57" s="392"/>
      <c r="C57" s="280">
        <f>SUM(C58:C73)</f>
        <v>7791.6666666666679</v>
      </c>
      <c r="D57" s="280">
        <f>SUM(D58:D73)</f>
        <v>5804</v>
      </c>
      <c r="E57" s="187">
        <f>ROUND(D57/C57*100,1)</f>
        <v>74.5</v>
      </c>
      <c r="F57" s="280">
        <f>SUM(F58:F73)</f>
        <v>12833.333333333332</v>
      </c>
      <c r="G57" s="280">
        <f>SUM(G58:G73)</f>
        <v>10222</v>
      </c>
      <c r="H57" s="188">
        <f>ROUND(G57/F57*100,1)</f>
        <v>79.7</v>
      </c>
      <c r="I57" s="280">
        <f>SUM(I58:I73)</f>
        <v>0.42258333333333337</v>
      </c>
      <c r="J57" s="280">
        <f>SUM(J58:J73)</f>
        <v>12</v>
      </c>
      <c r="K57" s="188"/>
      <c r="L57" s="280">
        <f>SUM(L58:L73)</f>
        <v>177925.00000000003</v>
      </c>
      <c r="M57" s="280">
        <f>SUM(M58:M73)</f>
        <v>195330.37</v>
      </c>
      <c r="N57" s="193">
        <f t="shared" si="47"/>
        <v>109.8</v>
      </c>
      <c r="O57" s="280">
        <f>SUM(O58:O73)</f>
        <v>37099.333333333328</v>
      </c>
      <c r="P57" s="280">
        <f>SUM(P58:P73)</f>
        <v>11340.24</v>
      </c>
      <c r="Q57" s="193">
        <f t="shared" si="51"/>
        <v>30.6</v>
      </c>
      <c r="R57" s="280">
        <f>SUM(R58:R73)</f>
        <v>0</v>
      </c>
      <c r="S57" s="280">
        <f>SUM(S58:S73)</f>
        <v>0</v>
      </c>
      <c r="T57" s="193"/>
      <c r="U57" s="280">
        <f>SUM(U58:U73)</f>
        <v>10128.25</v>
      </c>
      <c r="V57" s="280">
        <f>SUM(V58:V73)</f>
        <v>9400</v>
      </c>
      <c r="W57" s="193">
        <f>ROUND(V57/U57*100,1)</f>
        <v>92.8</v>
      </c>
      <c r="X57" s="281">
        <f t="shared" ref="X57:AC57" si="60">SUM(X58:X73)</f>
        <v>8500</v>
      </c>
      <c r="Y57" s="281">
        <f t="shared" si="60"/>
        <v>14000</v>
      </c>
      <c r="Z57" s="281">
        <f t="shared" si="60"/>
        <v>0.46100000000000002</v>
      </c>
      <c r="AA57" s="281">
        <f t="shared" si="60"/>
        <v>194100</v>
      </c>
      <c r="AB57" s="302">
        <f t="shared" si="60"/>
        <v>40472</v>
      </c>
      <c r="AC57" s="281">
        <f t="shared" si="60"/>
        <v>0</v>
      </c>
      <c r="AD57" s="281">
        <f>SUM(AD58:AD73)</f>
        <v>11049</v>
      </c>
      <c r="AE57" s="192">
        <f>SUM(AE58:AE73)</f>
        <v>0</v>
      </c>
      <c r="AF57" s="192">
        <f>SUM(AF58:AF73)</f>
        <v>0</v>
      </c>
    </row>
    <row r="58" spans="1:32" ht="15" x14ac:dyDescent="0.2">
      <c r="A58" s="66">
        <v>46</v>
      </c>
      <c r="B58" s="67" t="s">
        <v>197</v>
      </c>
      <c r="C58" s="189">
        <f t="shared" ref="C58:C73" si="61">X58/12*11</f>
        <v>3208.3333333333335</v>
      </c>
      <c r="D58" s="189">
        <f>кмс!D58+МАКС!D58+сол!D58+иногор!D58</f>
        <v>2697</v>
      </c>
      <c r="E58" s="190">
        <f>ROUND(D58/C58*100,1)</f>
        <v>84.1</v>
      </c>
      <c r="F58" s="189">
        <f t="shared" ref="F58:F73" si="62">Y58/12*11</f>
        <v>1833.3333333333333</v>
      </c>
      <c r="G58" s="189">
        <f>кмс!G58+МАКС!G58+сол!G58+иногор!G58</f>
        <v>913</v>
      </c>
      <c r="H58" s="191">
        <f>ROUND(G58/F58*100,1)</f>
        <v>49.8</v>
      </c>
      <c r="I58" s="189">
        <f t="shared" ref="I58:I73" si="63">Z58/12*11</f>
        <v>0</v>
      </c>
      <c r="J58" s="189">
        <f>кмс!J58+МАКС!J58+сол!J58+иногор!J58</f>
        <v>0</v>
      </c>
      <c r="K58" s="191"/>
      <c r="L58" s="189">
        <f t="shared" ref="L58:L73" si="64">AA58/12*11</f>
        <v>4583.3333333333339</v>
      </c>
      <c r="M58" s="262">
        <f>кмс!M58+МАКС!M58+сол!M58+иногор!M58</f>
        <v>2970.8</v>
      </c>
      <c r="N58" s="191">
        <f t="shared" si="47"/>
        <v>64.8</v>
      </c>
      <c r="O58" s="189">
        <f t="shared" ref="O58:O73" si="65">AB58/12*11</f>
        <v>916.66666666666663</v>
      </c>
      <c r="P58" s="189">
        <f>кмс!P58+МАКС!P58+сол!P58+иногор!P58</f>
        <v>598</v>
      </c>
      <c r="Q58" s="191">
        <f t="shared" si="51"/>
        <v>65.2</v>
      </c>
      <c r="R58" s="189">
        <f t="shared" ref="R58:R73" si="66">ROUND((AC58+AE58)/12*11,0)</f>
        <v>0</v>
      </c>
      <c r="S58" s="189">
        <f>кмс!S58+МАКС!S58+сол!S58+иногор!S58</f>
        <v>0</v>
      </c>
      <c r="T58" s="191"/>
      <c r="U58" s="189">
        <f t="shared" ref="U58:U73" si="67">AD58/12*11</f>
        <v>0</v>
      </c>
      <c r="V58" s="189"/>
      <c r="W58" s="191"/>
      <c r="X58" s="297">
        <f>кмс!Y58+МАКС!Y58+сол!Y58</f>
        <v>3500</v>
      </c>
      <c r="Y58" s="297">
        <f>кмс!AB58+МАКС!AB58+сол!AB58</f>
        <v>2000</v>
      </c>
      <c r="Z58" s="297">
        <f>кмс!AE58+МАКС!AE58+сол!AE58</f>
        <v>0</v>
      </c>
      <c r="AA58" s="297">
        <f>кмс!AH58+МАКС!AH58+сол!AH58</f>
        <v>5000</v>
      </c>
      <c r="AB58" s="297">
        <f>кмс!AK58+МАКС!AK58+сол!AK58</f>
        <v>1000</v>
      </c>
      <c r="AC58" s="297">
        <f>кмс!AN58+МАКС!AN58+сол!AN58+AF58</f>
        <v>0</v>
      </c>
      <c r="AD58" s="297">
        <f>кмс!AQ58+МАКС!AQ58+сол!AQ58</f>
        <v>0</v>
      </c>
      <c r="AE58" s="189">
        <f>[4]увд!$AA$124</f>
        <v>0</v>
      </c>
    </row>
    <row r="59" spans="1:32" ht="15" x14ac:dyDescent="0.2">
      <c r="A59" s="66">
        <v>47</v>
      </c>
      <c r="B59" s="67" t="s">
        <v>250</v>
      </c>
      <c r="C59" s="189">
        <f t="shared" si="61"/>
        <v>0</v>
      </c>
      <c r="D59" s="189">
        <f>кмс!D59+МАКС!D59+сол!D59+иногор!D59</f>
        <v>0</v>
      </c>
      <c r="E59" s="190"/>
      <c r="F59" s="189">
        <f t="shared" si="62"/>
        <v>0</v>
      </c>
      <c r="G59" s="189">
        <f>кмс!G59+МАКС!G59+сол!G59+иногор!G59</f>
        <v>0</v>
      </c>
      <c r="H59" s="191"/>
      <c r="I59" s="189">
        <f t="shared" si="63"/>
        <v>0</v>
      </c>
      <c r="J59" s="189">
        <f>кмс!J59+МАКС!J59+сол!J59+иногор!J59</f>
        <v>0</v>
      </c>
      <c r="K59" s="191"/>
      <c r="L59" s="189">
        <f t="shared" si="64"/>
        <v>0</v>
      </c>
      <c r="M59" s="262">
        <f>кмс!M59+МАКС!M59+сол!M59+иногор!M59</f>
        <v>0</v>
      </c>
      <c r="N59" s="191"/>
      <c r="O59" s="189">
        <f t="shared" si="65"/>
        <v>0</v>
      </c>
      <c r="P59" s="189">
        <f>кмс!P59+МАКС!P59+сол!P59+иногор!P59</f>
        <v>0</v>
      </c>
      <c r="Q59" s="191"/>
      <c r="R59" s="189">
        <f t="shared" si="66"/>
        <v>0</v>
      </c>
      <c r="S59" s="189">
        <f>кмс!S59+МАКС!S59+сол!S59+иногор!S59+AE59</f>
        <v>0</v>
      </c>
      <c r="T59" s="191"/>
      <c r="U59" s="189">
        <f t="shared" si="67"/>
        <v>0</v>
      </c>
      <c r="V59" s="189"/>
      <c r="W59" s="191"/>
      <c r="X59" s="297">
        <f>кмс!Y59+МАКС!Y59+сол!Y59</f>
        <v>0</v>
      </c>
      <c r="Y59" s="297">
        <f>кмс!AB59+МАКС!AB59+сол!AB59</f>
        <v>0</v>
      </c>
      <c r="Z59" s="297">
        <f>кмс!AE59+МАКС!AE59+сол!AE59</f>
        <v>0</v>
      </c>
      <c r="AA59" s="297">
        <f>кмс!AH59+МАКС!AH59+сол!AH59</f>
        <v>0</v>
      </c>
      <c r="AB59" s="297">
        <f>кмс!AK59+МАКС!AK59+сол!AK59</f>
        <v>0</v>
      </c>
      <c r="AC59" s="297">
        <f>кмс!AN59+МАКС!AN59+сол!AN59+AF59</f>
        <v>0</v>
      </c>
      <c r="AD59" s="297">
        <f>кмс!AQ59+МАКС!AQ59+сол!AQ59</f>
        <v>0</v>
      </c>
      <c r="AE59" s="189">
        <f>[3]ФГУ!$AG$124</f>
        <v>0</v>
      </c>
    </row>
    <row r="60" spans="1:32" ht="15" x14ac:dyDescent="0.2">
      <c r="A60" s="66">
        <v>48</v>
      </c>
      <c r="B60" s="67" t="s">
        <v>258</v>
      </c>
      <c r="C60" s="189">
        <f t="shared" si="61"/>
        <v>0</v>
      </c>
      <c r="D60" s="189">
        <f>кмс!D60+МАКС!D60+сол!D60+иногор!D60</f>
        <v>0</v>
      </c>
      <c r="E60" s="190"/>
      <c r="F60" s="189">
        <f t="shared" si="62"/>
        <v>0</v>
      </c>
      <c r="G60" s="189">
        <f>кмс!G60+МАКС!G60+сол!G60+иногор!G60</f>
        <v>0</v>
      </c>
      <c r="H60" s="191"/>
      <c r="I60" s="189">
        <f t="shared" si="63"/>
        <v>0.42258333333333337</v>
      </c>
      <c r="J60" s="189">
        <f>кмс!J60+МАКС!J60+сол!J60+иногор!J60</f>
        <v>0</v>
      </c>
      <c r="K60" s="191"/>
      <c r="L60" s="189">
        <f t="shared" si="64"/>
        <v>0</v>
      </c>
      <c r="M60" s="262">
        <f>кмс!M60+МАКС!M60+сол!M60+иногор!M60</f>
        <v>0</v>
      </c>
      <c r="N60" s="191"/>
      <c r="O60" s="189">
        <f t="shared" si="65"/>
        <v>0</v>
      </c>
      <c r="P60" s="189">
        <f>кмс!P60+МАКС!P60+сол!P60+иногор!P60</f>
        <v>0</v>
      </c>
      <c r="Q60" s="191"/>
      <c r="R60" s="189">
        <f t="shared" si="66"/>
        <v>0</v>
      </c>
      <c r="S60" s="189">
        <f>кмс!S60+МАКС!S60+сол!S60+иногор!S60+AE60</f>
        <v>0</v>
      </c>
      <c r="T60" s="191"/>
      <c r="U60" s="189">
        <f t="shared" si="67"/>
        <v>0</v>
      </c>
      <c r="V60" s="189"/>
      <c r="W60" s="191"/>
      <c r="X60" s="297">
        <f>кмс!Y60+МАКС!Y60+сол!Y60</f>
        <v>0</v>
      </c>
      <c r="Y60" s="297">
        <f>кмс!AB60+МАКС!AB60+сол!AB60</f>
        <v>0</v>
      </c>
      <c r="Z60" s="297">
        <f>кмс!AE60+МАКС!AE60+сол!AE60</f>
        <v>0.46100000000000002</v>
      </c>
      <c r="AA60" s="297">
        <f>кмс!AH60+МАКС!AH60+сол!AH60</f>
        <v>0</v>
      </c>
      <c r="AB60" s="297">
        <f>кмс!AK60+МАКС!AK60+сол!AK60</f>
        <v>0</v>
      </c>
      <c r="AC60" s="297">
        <f>кмс!AN60+МАКС!AN60+сол!AN60+AF60</f>
        <v>0</v>
      </c>
      <c r="AD60" s="297">
        <f>кмс!AQ60+МАКС!AQ60+сол!AQ60</f>
        <v>0</v>
      </c>
      <c r="AE60" s="189">
        <f>[3]ИК!$AG$124</f>
        <v>0</v>
      </c>
    </row>
    <row r="61" spans="1:32" ht="15" x14ac:dyDescent="0.2">
      <c r="A61" s="66">
        <v>49</v>
      </c>
      <c r="B61" s="67" t="s">
        <v>200</v>
      </c>
      <c r="C61" s="189">
        <f t="shared" si="61"/>
        <v>0</v>
      </c>
      <c r="D61" s="189">
        <f>кмс!D61+МАКС!D61+сол!D61+иногор!D61</f>
        <v>0</v>
      </c>
      <c r="E61" s="190"/>
      <c r="F61" s="189">
        <f t="shared" si="62"/>
        <v>1833.3333333333333</v>
      </c>
      <c r="G61" s="189">
        <f>кмс!G61+МАКС!G61+сол!G61+иногор!G61</f>
        <v>1174</v>
      </c>
      <c r="H61" s="191">
        <f>ROUND(G61/F61*100,1)</f>
        <v>64</v>
      </c>
      <c r="I61" s="189">
        <f t="shared" si="63"/>
        <v>0</v>
      </c>
      <c r="J61" s="189">
        <f>кмс!J61+МАКС!J61+сол!J61+иногор!J61</f>
        <v>0</v>
      </c>
      <c r="K61" s="191"/>
      <c r="L61" s="189">
        <f t="shared" si="64"/>
        <v>916.66666666666663</v>
      </c>
      <c r="M61" s="262">
        <f>кмс!M61+МАКС!M61+сол!M61+иногор!M61</f>
        <v>219</v>
      </c>
      <c r="N61" s="191">
        <f>ROUND(M61/L61*100,1)</f>
        <v>23.9</v>
      </c>
      <c r="O61" s="189">
        <f t="shared" si="65"/>
        <v>1833.3333333333333</v>
      </c>
      <c r="P61" s="189">
        <f>кмс!P61+МАКС!P61+сол!P61+иногор!P61</f>
        <v>160</v>
      </c>
      <c r="Q61" s="191">
        <f>ROUND(P61/O61*100,1)</f>
        <v>8.6999999999999993</v>
      </c>
      <c r="R61" s="189">
        <f t="shared" si="66"/>
        <v>0</v>
      </c>
      <c r="S61" s="189">
        <f>кмс!S61+МАКС!S61+сол!S61+иногор!S61+AE61</f>
        <v>0</v>
      </c>
      <c r="T61" s="191"/>
      <c r="U61" s="189">
        <f t="shared" si="67"/>
        <v>0</v>
      </c>
      <c r="V61" s="189"/>
      <c r="W61" s="191"/>
      <c r="X61" s="297">
        <f>кмс!Y61+МАКС!Y61+сол!Y61</f>
        <v>0</v>
      </c>
      <c r="Y61" s="297">
        <f>кмс!AB61+МАКС!AB61+сол!AB61</f>
        <v>2000</v>
      </c>
      <c r="Z61" s="297">
        <f>кмс!AE61+МАКС!AE61+сол!AE61</f>
        <v>0</v>
      </c>
      <c r="AA61" s="297">
        <f>кмс!AH61+МАКС!AH61+сол!AH61</f>
        <v>1000</v>
      </c>
      <c r="AB61" s="297">
        <f>кмс!AK61+МАКС!AK61+сол!AK61</f>
        <v>2000</v>
      </c>
      <c r="AC61" s="297">
        <f>кмс!AN61+МАКС!AN61+сол!AN61+AF61</f>
        <v>0</v>
      </c>
      <c r="AD61" s="297">
        <f>кмс!AQ61+МАКС!AQ61+сол!AQ61</f>
        <v>0</v>
      </c>
      <c r="AE61" s="189">
        <f>[2]цах!$AG$124</f>
        <v>0</v>
      </c>
    </row>
    <row r="62" spans="1:32" ht="15" x14ac:dyDescent="0.2">
      <c r="A62" s="66">
        <v>50</v>
      </c>
      <c r="B62" s="92" t="s">
        <v>98</v>
      </c>
      <c r="C62" s="189">
        <f t="shared" si="61"/>
        <v>0</v>
      </c>
      <c r="D62" s="189">
        <f>кмс!D62+МАКС!D62+сол!D62+иногор!D62</f>
        <v>0</v>
      </c>
      <c r="E62" s="190"/>
      <c r="F62" s="189">
        <f t="shared" si="62"/>
        <v>0</v>
      </c>
      <c r="G62" s="189">
        <f>кмс!G62+МАКС!G62+сол!G62+иногор!G62</f>
        <v>0</v>
      </c>
      <c r="H62" s="191"/>
      <c r="I62" s="189">
        <f t="shared" si="63"/>
        <v>0</v>
      </c>
      <c r="J62" s="189">
        <f>кмс!J62+МАКС!J62+сол!J62+иногор!J62</f>
        <v>0</v>
      </c>
      <c r="K62" s="191"/>
      <c r="L62" s="189">
        <f t="shared" si="64"/>
        <v>8708.3333333333321</v>
      </c>
      <c r="M62" s="262">
        <f>кмс!M62+МАКС!M62+сол!M62+иногор!M62</f>
        <v>9694.6200000000008</v>
      </c>
      <c r="N62" s="191">
        <f t="shared" ref="N62:N69" si="68">ROUND(M62/L62*100,1)</f>
        <v>111.3</v>
      </c>
      <c r="O62" s="189">
        <f t="shared" si="65"/>
        <v>3058</v>
      </c>
      <c r="P62" s="189">
        <f>кмс!P62+МАКС!P62+сол!P62+иногор!P62</f>
        <v>608</v>
      </c>
      <c r="Q62" s="191"/>
      <c r="R62" s="189">
        <f t="shared" si="66"/>
        <v>0</v>
      </c>
      <c r="S62" s="189">
        <f>кмс!S62+МАКС!S62+сол!S62+иногор!S62+AE62</f>
        <v>0</v>
      </c>
      <c r="T62" s="191"/>
      <c r="U62" s="189">
        <f t="shared" si="67"/>
        <v>0</v>
      </c>
      <c r="V62" s="189"/>
      <c r="W62" s="191"/>
      <c r="X62" s="297">
        <f>кмс!Y62+МАКС!Y62+сол!Y62</f>
        <v>0</v>
      </c>
      <c r="Y62" s="297">
        <f>кмс!AB62+МАКС!AB62+сол!AB62</f>
        <v>0</v>
      </c>
      <c r="Z62" s="297">
        <f>кмс!AE62+МАКС!AE62+сол!AE62</f>
        <v>0</v>
      </c>
      <c r="AA62" s="297">
        <f>кмс!AH62+МАКС!AH62+сол!AH62</f>
        <v>9500</v>
      </c>
      <c r="AB62" s="297">
        <f>кмс!AK62+МАКС!AK62+сол!AK62</f>
        <v>3336</v>
      </c>
      <c r="AC62" s="297">
        <f>кмс!AN62+МАКС!AN62+сол!AN62+AF62</f>
        <v>0</v>
      </c>
      <c r="AD62" s="297">
        <f>кмс!AQ62+МАКС!AQ62+сол!AQ62</f>
        <v>0</v>
      </c>
      <c r="AE62" s="189">
        <f>[4]ЦЕНТР!$AG$124</f>
        <v>0</v>
      </c>
    </row>
    <row r="63" spans="1:32" ht="15" x14ac:dyDescent="0.2">
      <c r="A63" s="66">
        <v>51</v>
      </c>
      <c r="B63" s="92" t="s">
        <v>99</v>
      </c>
      <c r="C63" s="189">
        <f t="shared" si="61"/>
        <v>0</v>
      </c>
      <c r="D63" s="189">
        <f>кмс!D63+МАКС!D63+сол!D63+иногор!D63</f>
        <v>0</v>
      </c>
      <c r="E63" s="190"/>
      <c r="F63" s="189">
        <f t="shared" si="62"/>
        <v>0</v>
      </c>
      <c r="G63" s="189">
        <f>кмс!G63+МАКС!G63+сол!G63+иногор!G63</f>
        <v>0</v>
      </c>
      <c r="H63" s="191"/>
      <c r="I63" s="189">
        <f t="shared" si="63"/>
        <v>0</v>
      </c>
      <c r="J63" s="189">
        <f>кмс!J63+МАКС!J63+сол!J63+иногор!J63</f>
        <v>0</v>
      </c>
      <c r="K63" s="191"/>
      <c r="L63" s="189">
        <f t="shared" si="64"/>
        <v>27958.333333333332</v>
      </c>
      <c r="M63" s="262">
        <f>кмс!M63+МАКС!M63+сол!M63+иногор!M63</f>
        <v>31328.799999999996</v>
      </c>
      <c r="N63" s="191">
        <f t="shared" si="68"/>
        <v>112.1</v>
      </c>
      <c r="O63" s="189">
        <f t="shared" si="65"/>
        <v>4730</v>
      </c>
      <c r="P63" s="189">
        <f>кмс!P63+МАКС!P63+сол!P63+иногор!P63</f>
        <v>843</v>
      </c>
      <c r="Q63" s="191"/>
      <c r="R63" s="189">
        <f t="shared" si="66"/>
        <v>0</v>
      </c>
      <c r="S63" s="189">
        <f>кмс!S63+МАКС!S63+сол!S63+иногор!S63+AE63</f>
        <v>0</v>
      </c>
      <c r="T63" s="191"/>
      <c r="U63" s="189">
        <f t="shared" si="67"/>
        <v>0</v>
      </c>
      <c r="V63" s="189"/>
      <c r="W63" s="191"/>
      <c r="X63" s="297">
        <f>кмс!Y63+МАКС!Y63+сол!Y63</f>
        <v>0</v>
      </c>
      <c r="Y63" s="297">
        <f>кмс!AB63+МАКС!AB63+сол!AB63</f>
        <v>0</v>
      </c>
      <c r="Z63" s="297">
        <f>кмс!AE63+МАКС!AE63+сол!AE63</f>
        <v>0</v>
      </c>
      <c r="AA63" s="297">
        <f>кмс!AH63+МАКС!AH63+сол!AH63</f>
        <v>30500</v>
      </c>
      <c r="AB63" s="297">
        <f>кмс!AK63+МАКС!AK63+сол!AK63</f>
        <v>5160</v>
      </c>
      <c r="AC63" s="297">
        <f>кмс!AN63+МАКС!AN63+сол!AN63+AF63</f>
        <v>0</v>
      </c>
      <c r="AD63" s="297">
        <f>кмс!AQ63+МАКС!AQ63+сол!AQ63</f>
        <v>0</v>
      </c>
      <c r="AE63" s="189">
        <f>[2]ОПТИМА!$AG$124</f>
        <v>0</v>
      </c>
    </row>
    <row r="64" spans="1:32" ht="15" x14ac:dyDescent="0.2">
      <c r="A64" s="66">
        <v>52</v>
      </c>
      <c r="B64" s="92" t="s">
        <v>103</v>
      </c>
      <c r="C64" s="189">
        <f t="shared" si="61"/>
        <v>0</v>
      </c>
      <c r="D64" s="189">
        <f>кмс!D64+МАКС!D64+сол!D64+иногор!D64</f>
        <v>0</v>
      </c>
      <c r="E64" s="190"/>
      <c r="F64" s="189">
        <f t="shared" si="62"/>
        <v>0</v>
      </c>
      <c r="G64" s="189">
        <f>кмс!G64+МАКС!G64+сол!G64+иногор!G64</f>
        <v>0</v>
      </c>
      <c r="H64" s="191"/>
      <c r="I64" s="189">
        <f t="shared" si="63"/>
        <v>0</v>
      </c>
      <c r="J64" s="189">
        <f>кмс!J64+МАКС!J64+сол!J64+иногор!J64</f>
        <v>0</v>
      </c>
      <c r="K64" s="191"/>
      <c r="L64" s="189">
        <f t="shared" si="64"/>
        <v>29058.333333333332</v>
      </c>
      <c r="M64" s="262">
        <f>кмс!M64+МАКС!M64+сол!M64+иногор!M64</f>
        <v>33274.519999999997</v>
      </c>
      <c r="N64" s="191">
        <f t="shared" si="68"/>
        <v>114.5</v>
      </c>
      <c r="O64" s="189">
        <f t="shared" si="65"/>
        <v>4675</v>
      </c>
      <c r="P64" s="189">
        <f>кмс!P64+МАКС!P64+сол!P64+иногор!P64</f>
        <v>1526</v>
      </c>
      <c r="Q64" s="191"/>
      <c r="R64" s="189">
        <f t="shared" si="66"/>
        <v>0</v>
      </c>
      <c r="S64" s="189">
        <f>кмс!S64+МАКС!S64+сол!S64+иногор!S64+AE64</f>
        <v>0</v>
      </c>
      <c r="T64" s="191"/>
      <c r="U64" s="189">
        <f t="shared" si="67"/>
        <v>0</v>
      </c>
      <c r="V64" s="189"/>
      <c r="W64" s="191"/>
      <c r="X64" s="297">
        <f>кмс!Y64+МАКС!Y64+сол!Y64</f>
        <v>0</v>
      </c>
      <c r="Y64" s="297">
        <f>кмс!AB64+МАКС!AB64+сол!AB64</f>
        <v>0</v>
      </c>
      <c r="Z64" s="297">
        <f>кмс!AE64+МАКС!AE64+сол!AE64</f>
        <v>0</v>
      </c>
      <c r="AA64" s="297">
        <f>кмс!AH64+МАКС!AH64+сол!AH64</f>
        <v>31700</v>
      </c>
      <c r="AB64" s="297">
        <f>кмс!AK64+МАКС!AK64+сол!AK64</f>
        <v>5100</v>
      </c>
      <c r="AC64" s="297">
        <f>кмс!AN64+МАКС!AN64+сол!AN64+AF64</f>
        <v>0</v>
      </c>
      <c r="AD64" s="297">
        <f>кмс!AQ64+МАКС!AQ64+сол!AQ64</f>
        <v>0</v>
      </c>
      <c r="AE64" s="189">
        <f>[2]зуб!$AG$124</f>
        <v>0</v>
      </c>
    </row>
    <row r="65" spans="1:32" ht="15" x14ac:dyDescent="0.2">
      <c r="A65" s="66">
        <v>53</v>
      </c>
      <c r="B65" s="92" t="s">
        <v>268</v>
      </c>
      <c r="C65" s="189">
        <f t="shared" si="61"/>
        <v>0</v>
      </c>
      <c r="D65" s="189">
        <f>кмс!D65+МАКС!D65+сол!D65+иногор!D65</f>
        <v>0</v>
      </c>
      <c r="E65" s="190"/>
      <c r="F65" s="189">
        <f t="shared" si="62"/>
        <v>0</v>
      </c>
      <c r="G65" s="189">
        <f>кмс!G65+МАКС!G65+сол!G65+иногор!G65</f>
        <v>0</v>
      </c>
      <c r="H65" s="191"/>
      <c r="I65" s="189">
        <f t="shared" si="63"/>
        <v>0</v>
      </c>
      <c r="J65" s="189">
        <f>кмс!J65+МАКС!J65+сол!J65+иногор!J65</f>
        <v>0</v>
      </c>
      <c r="K65" s="191"/>
      <c r="L65" s="189">
        <f t="shared" si="64"/>
        <v>2750</v>
      </c>
      <c r="M65" s="262">
        <f>кмс!M65+МАКС!M65+сол!M65+иногор!M65</f>
        <v>1920</v>
      </c>
      <c r="N65" s="191">
        <f t="shared" si="68"/>
        <v>69.8</v>
      </c>
      <c r="O65" s="189">
        <f t="shared" si="65"/>
        <v>0</v>
      </c>
      <c r="P65" s="189">
        <f>кмс!P65+МАКС!P65+сол!P65+иногор!P65</f>
        <v>5</v>
      </c>
      <c r="Q65" s="191"/>
      <c r="R65" s="189">
        <f t="shared" si="66"/>
        <v>0</v>
      </c>
      <c r="S65" s="189">
        <f>кмс!S65+МАКС!S65+сол!S65+иногор!S65+AE65</f>
        <v>0</v>
      </c>
      <c r="T65" s="191"/>
      <c r="U65" s="189">
        <f t="shared" si="67"/>
        <v>0</v>
      </c>
      <c r="V65" s="189"/>
      <c r="W65" s="191"/>
      <c r="X65" s="297">
        <f>кмс!Y65+МАКС!Y65+сол!Y65</f>
        <v>0</v>
      </c>
      <c r="Y65" s="297">
        <f>кмс!AB65+МАКС!AB65+сол!AB65</f>
        <v>0</v>
      </c>
      <c r="Z65" s="297">
        <f>кмс!AE65+МАКС!AE65+сол!AE65</f>
        <v>0</v>
      </c>
      <c r="AA65" s="297">
        <f>кмс!AH65+МАКС!AH65+сол!AH65</f>
        <v>3000</v>
      </c>
      <c r="AB65" s="297">
        <f>кмс!AK65+МАКС!AK65+сол!AK65</f>
        <v>0</v>
      </c>
      <c r="AC65" s="297">
        <f>кмс!AN65+МАКС!AN65+сол!AN65+AF65</f>
        <v>0</v>
      </c>
      <c r="AD65" s="297">
        <f>кмс!AQ65+МАКС!AQ65+сол!AQ65</f>
        <v>0</v>
      </c>
      <c r="AE65" s="189">
        <f>[2]ПРОЗР!$AG$124</f>
        <v>0</v>
      </c>
    </row>
    <row r="66" spans="1:32" ht="15" x14ac:dyDescent="0.2">
      <c r="A66" s="66">
        <v>54</v>
      </c>
      <c r="B66" s="92" t="s">
        <v>180</v>
      </c>
      <c r="C66" s="189">
        <f t="shared" si="61"/>
        <v>0</v>
      </c>
      <c r="D66" s="189">
        <f>кмс!D66+МАКС!D66+сол!D66+иногор!D66</f>
        <v>0</v>
      </c>
      <c r="E66" s="190"/>
      <c r="F66" s="189">
        <f t="shared" si="62"/>
        <v>0</v>
      </c>
      <c r="G66" s="189">
        <f>кмс!G66+МАКС!G66+сол!G66+иногор!G66</f>
        <v>0</v>
      </c>
      <c r="H66" s="191"/>
      <c r="I66" s="189">
        <f t="shared" si="63"/>
        <v>0</v>
      </c>
      <c r="J66" s="189">
        <f>кмс!J66+МАКС!J66+сол!J66+иногор!J66</f>
        <v>0</v>
      </c>
      <c r="K66" s="191"/>
      <c r="L66" s="189">
        <f t="shared" si="64"/>
        <v>9166.6666666666679</v>
      </c>
      <c r="M66" s="262">
        <f>кмс!M66+МАКС!M66+сол!M66+иногор!M66</f>
        <v>9626.2400000000016</v>
      </c>
      <c r="N66" s="191"/>
      <c r="O66" s="189">
        <f t="shared" si="65"/>
        <v>3070.8333333333335</v>
      </c>
      <c r="P66" s="189">
        <f>кмс!P66+МАКС!P66+сол!P66+иногор!P66</f>
        <v>611</v>
      </c>
      <c r="Q66" s="191"/>
      <c r="R66" s="189">
        <f t="shared" si="66"/>
        <v>0</v>
      </c>
      <c r="S66" s="189">
        <f>кмс!S66+МАКС!S66+сол!S66+иногор!S66+AE66</f>
        <v>0</v>
      </c>
      <c r="T66" s="191"/>
      <c r="U66" s="189">
        <f t="shared" si="67"/>
        <v>0</v>
      </c>
      <c r="V66" s="189"/>
      <c r="W66" s="191"/>
      <c r="X66" s="297">
        <f>кмс!Y66+МАКС!Y66+сол!Y66</f>
        <v>0</v>
      </c>
      <c r="Y66" s="297">
        <f>кмс!AB66+МАКС!AB66+сол!AB66</f>
        <v>0</v>
      </c>
      <c r="Z66" s="297">
        <f>кмс!AE66+МАКС!AE66+сол!AE66</f>
        <v>0</v>
      </c>
      <c r="AA66" s="297">
        <f>кмс!AH66+МАКС!AH66+сол!AH66</f>
        <v>10000</v>
      </c>
      <c r="AB66" s="297">
        <f>кмс!AK66+МАКС!AK66+сол!AK66</f>
        <v>3350</v>
      </c>
      <c r="AC66" s="297">
        <f>кмс!AN66+МАКС!AN66+сол!AN66+AF66</f>
        <v>0</v>
      </c>
      <c r="AD66" s="297">
        <f>кмс!AQ66+МАКС!AQ66+сол!AQ66</f>
        <v>0</v>
      </c>
      <c r="AE66" s="189">
        <f>[2]стдв!$AG$124</f>
        <v>0</v>
      </c>
    </row>
    <row r="67" spans="1:32" ht="15" x14ac:dyDescent="0.2">
      <c r="A67" s="66">
        <v>55</v>
      </c>
      <c r="B67" s="92" t="s">
        <v>112</v>
      </c>
      <c r="C67" s="189">
        <f t="shared" si="61"/>
        <v>0</v>
      </c>
      <c r="D67" s="189">
        <f>кмс!D67+МАКС!D67+сол!D67+иногор!D67</f>
        <v>0</v>
      </c>
      <c r="E67" s="190"/>
      <c r="F67" s="189">
        <f t="shared" si="62"/>
        <v>0</v>
      </c>
      <c r="G67" s="189">
        <f>кмс!G67+МАКС!G67+сол!G67+иногор!G67</f>
        <v>0</v>
      </c>
      <c r="H67" s="191"/>
      <c r="I67" s="189">
        <f t="shared" si="63"/>
        <v>0</v>
      </c>
      <c r="J67" s="189">
        <f>кмс!J67+МАКС!J67+сол!J67+иногор!J67</f>
        <v>0</v>
      </c>
      <c r="K67" s="191"/>
      <c r="L67" s="189">
        <f t="shared" si="64"/>
        <v>40700</v>
      </c>
      <c r="M67" s="262">
        <f>кмс!M67+МАКС!M67+сол!M67+иногор!M67</f>
        <v>46598.16</v>
      </c>
      <c r="N67" s="191">
        <f t="shared" si="68"/>
        <v>114.5</v>
      </c>
      <c r="O67" s="189">
        <f t="shared" si="65"/>
        <v>6293.833333333333</v>
      </c>
      <c r="P67" s="189">
        <f>кмс!P67+МАКС!P67+сол!P67+иногор!P67</f>
        <v>929</v>
      </c>
      <c r="Q67" s="191"/>
      <c r="R67" s="189">
        <f t="shared" si="66"/>
        <v>0</v>
      </c>
      <c r="S67" s="189">
        <f>кмс!S67+МАКС!S67+сол!S67+иногор!S67+AE67</f>
        <v>0</v>
      </c>
      <c r="T67" s="191"/>
      <c r="U67" s="189">
        <f t="shared" si="67"/>
        <v>0</v>
      </c>
      <c r="V67" s="189"/>
      <c r="W67" s="191"/>
      <c r="X67" s="297">
        <f>кмс!Y67+МАКС!Y67+сол!Y67</f>
        <v>0</v>
      </c>
      <c r="Y67" s="297">
        <f>кмс!AB67+МАКС!AB67+сол!AB67</f>
        <v>0</v>
      </c>
      <c r="Z67" s="297">
        <f>кмс!AE67+МАКС!AE67+сол!AE67</f>
        <v>0</v>
      </c>
      <c r="AA67" s="297">
        <f>кмс!AH67+МАКС!AH67+сол!AH67</f>
        <v>44400</v>
      </c>
      <c r="AB67" s="297">
        <f>кмс!AK67+МАКС!AK67+сол!AK67</f>
        <v>6866</v>
      </c>
      <c r="AC67" s="297">
        <f>кмс!AN67+МАКС!AN67+сол!AN67+AF67</f>
        <v>0</v>
      </c>
      <c r="AD67" s="297">
        <f>кмс!AQ67+МАКС!AQ67+сол!AQ67</f>
        <v>0</v>
      </c>
      <c r="AE67" s="189">
        <f>[2]КРИСТ!$AG$124</f>
        <v>0</v>
      </c>
    </row>
    <row r="68" spans="1:32" ht="15" x14ac:dyDescent="0.2">
      <c r="A68" s="66">
        <v>56</v>
      </c>
      <c r="B68" s="67" t="s">
        <v>134</v>
      </c>
      <c r="C68" s="189">
        <f t="shared" si="61"/>
        <v>0</v>
      </c>
      <c r="D68" s="189">
        <f>кмс!D68+МАКС!D68+сол!D68+иногор!D68</f>
        <v>0</v>
      </c>
      <c r="E68" s="190"/>
      <c r="F68" s="189">
        <f t="shared" si="62"/>
        <v>0</v>
      </c>
      <c r="G68" s="189">
        <f>кмс!G68+МАКС!G68+сол!G68+иногор!G68</f>
        <v>0</v>
      </c>
      <c r="H68" s="191"/>
      <c r="I68" s="189">
        <f t="shared" si="63"/>
        <v>0</v>
      </c>
      <c r="J68" s="189">
        <f>кмс!J68+МАКС!J68+сол!J68+иногор!J68</f>
        <v>0</v>
      </c>
      <c r="K68" s="191"/>
      <c r="L68" s="189">
        <f t="shared" si="64"/>
        <v>18425</v>
      </c>
      <c r="M68" s="262">
        <f>кмс!M68+МАКС!M68+сол!M68+иногор!M68</f>
        <v>20578.659999999996</v>
      </c>
      <c r="N68" s="191">
        <f t="shared" si="68"/>
        <v>111.7</v>
      </c>
      <c r="O68" s="189">
        <f t="shared" si="65"/>
        <v>4216.6666666666661</v>
      </c>
      <c r="P68" s="189">
        <f>кмс!P68+МАКС!P68+сол!P68+иногор!P68</f>
        <v>466</v>
      </c>
      <c r="Q68" s="191"/>
      <c r="R68" s="189">
        <f t="shared" si="66"/>
        <v>0</v>
      </c>
      <c r="S68" s="189">
        <f>кмс!S68+МАКС!S68+сол!S68+иногор!S68+AE68</f>
        <v>0</v>
      </c>
      <c r="T68" s="191"/>
      <c r="U68" s="189">
        <f t="shared" si="67"/>
        <v>0</v>
      </c>
      <c r="V68" s="189"/>
      <c r="W68" s="191"/>
      <c r="X68" s="297">
        <f>кмс!Y68+МАКС!Y68+сол!Y68</f>
        <v>0</v>
      </c>
      <c r="Y68" s="297">
        <f>кмс!AB68+МАКС!AB68+сол!AB68</f>
        <v>0</v>
      </c>
      <c r="Z68" s="297">
        <f>кмс!AE68+МАКС!AE68+сол!AE68</f>
        <v>0</v>
      </c>
      <c r="AA68" s="297">
        <f>кмс!AH68+МАКС!AH68+сол!AH68</f>
        <v>20100</v>
      </c>
      <c r="AB68" s="297">
        <f>кмс!AK68+МАКС!AK68+сол!AK68</f>
        <v>4600</v>
      </c>
      <c r="AC68" s="297">
        <f>кмс!AN68+МАКС!AN68+сол!AN68+AF68</f>
        <v>0</v>
      </c>
      <c r="AD68" s="297">
        <f>кмс!AQ68+МАКС!AQ68+сол!AQ68</f>
        <v>0</v>
      </c>
      <c r="AE68" s="189">
        <f>[2]чародей!$AG$124</f>
        <v>0</v>
      </c>
    </row>
    <row r="69" spans="1:32" ht="15" x14ac:dyDescent="0.2">
      <c r="A69" s="66">
        <v>57</v>
      </c>
      <c r="B69" s="67" t="s">
        <v>135</v>
      </c>
      <c r="C69" s="189">
        <f t="shared" si="61"/>
        <v>0</v>
      </c>
      <c r="D69" s="189">
        <f>кмс!D69+МАКС!D69+сол!D69+иногор!D69</f>
        <v>0</v>
      </c>
      <c r="E69" s="190"/>
      <c r="F69" s="189">
        <f t="shared" si="62"/>
        <v>0</v>
      </c>
      <c r="G69" s="189">
        <f>кмс!G69+МАКС!G69+сол!G69+иногор!G69</f>
        <v>0</v>
      </c>
      <c r="H69" s="191"/>
      <c r="I69" s="189">
        <f t="shared" si="63"/>
        <v>0</v>
      </c>
      <c r="J69" s="189">
        <f>кмс!J69+МАКС!J69+сол!J69+иногор!J69</f>
        <v>0</v>
      </c>
      <c r="K69" s="191"/>
      <c r="L69" s="189">
        <f t="shared" si="64"/>
        <v>6325</v>
      </c>
      <c r="M69" s="262">
        <f>кмс!M69+МАКС!M69+сол!M69+иногор!M69</f>
        <v>7051.4599999999991</v>
      </c>
      <c r="N69" s="191">
        <f t="shared" si="68"/>
        <v>111.5</v>
      </c>
      <c r="O69" s="189">
        <f t="shared" si="65"/>
        <v>2163.333333333333</v>
      </c>
      <c r="P69" s="189">
        <f>кмс!P69+МАКС!P69+сол!P69+иногор!P69</f>
        <v>152</v>
      </c>
      <c r="Q69" s="191"/>
      <c r="R69" s="189">
        <f t="shared" si="66"/>
        <v>0</v>
      </c>
      <c r="S69" s="189">
        <f>кмс!S69+МАКС!S69+сол!S69+иногор!S69+AE69</f>
        <v>0</v>
      </c>
      <c r="T69" s="191"/>
      <c r="U69" s="189">
        <f t="shared" si="67"/>
        <v>0</v>
      </c>
      <c r="V69" s="189"/>
      <c r="W69" s="191"/>
      <c r="X69" s="297">
        <f>кмс!Y69+МАКС!Y69+сол!Y69</f>
        <v>0</v>
      </c>
      <c r="Y69" s="297">
        <f>кмс!AB69+МАКС!AB69+сол!AB69</f>
        <v>0</v>
      </c>
      <c r="Z69" s="297">
        <f>кмс!AE69+МАКС!AE69+сол!AE69</f>
        <v>0</v>
      </c>
      <c r="AA69" s="297">
        <f>кмс!AH69+МАКС!AH69+сол!AH69</f>
        <v>6900</v>
      </c>
      <c r="AB69" s="297">
        <f>кмс!AK69+МАКС!AK69+сол!AK69</f>
        <v>2360</v>
      </c>
      <c r="AC69" s="297">
        <f>кмс!AN69+МАКС!AN69+сол!AN69+AF69</f>
        <v>0</v>
      </c>
      <c r="AD69" s="297">
        <f>кмс!AQ69+МАКС!AQ69+сол!AQ69</f>
        <v>0</v>
      </c>
      <c r="AE69" s="189">
        <f>[2]эстетика!$AG$124</f>
        <v>0</v>
      </c>
      <c r="AF69" s="191"/>
    </row>
    <row r="70" spans="1:32" ht="15" x14ac:dyDescent="0.2">
      <c r="A70" s="66">
        <v>58</v>
      </c>
      <c r="B70" s="67" t="s">
        <v>179</v>
      </c>
      <c r="C70" s="189">
        <f t="shared" si="61"/>
        <v>0</v>
      </c>
      <c r="D70" s="189">
        <f>кмс!D70+МАКС!D70+сол!D70+иногор!D70</f>
        <v>0</v>
      </c>
      <c r="E70" s="190"/>
      <c r="F70" s="189">
        <f t="shared" si="62"/>
        <v>0</v>
      </c>
      <c r="G70" s="189">
        <f>кмс!G70+МАКС!G70+сол!G70+иногор!G70</f>
        <v>0</v>
      </c>
      <c r="H70" s="191"/>
      <c r="I70" s="189">
        <f t="shared" si="63"/>
        <v>0</v>
      </c>
      <c r="J70" s="189">
        <f>кмс!J70+МАКС!J70+сол!J70+иногор!J70</f>
        <v>0</v>
      </c>
      <c r="K70" s="191"/>
      <c r="L70" s="189">
        <f t="shared" si="64"/>
        <v>0</v>
      </c>
      <c r="M70" s="262">
        <f>кмс!M70+МАКС!M70+сол!M70+иногор!M70</f>
        <v>0</v>
      </c>
      <c r="N70" s="191"/>
      <c r="O70" s="189">
        <f t="shared" si="65"/>
        <v>0</v>
      </c>
      <c r="P70" s="189">
        <f>кмс!P70+МАКС!P70+сол!P70+иногор!P70</f>
        <v>0</v>
      </c>
      <c r="Q70" s="191"/>
      <c r="R70" s="189">
        <f t="shared" si="66"/>
        <v>0</v>
      </c>
      <c r="S70" s="189">
        <f>кмс!S70+МАКС!S70+сол!S70+иногор!S70+AE70</f>
        <v>0</v>
      </c>
      <c r="T70" s="191"/>
      <c r="U70" s="189">
        <f t="shared" si="67"/>
        <v>0</v>
      </c>
      <c r="V70" s="189"/>
      <c r="W70" s="1"/>
      <c r="X70" s="297">
        <f>кмс!Y70+МАКС!Y70+сол!Y70</f>
        <v>0</v>
      </c>
      <c r="Y70" s="297">
        <f>кмс!AB70+МАКС!AB70+сол!AB70</f>
        <v>0</v>
      </c>
      <c r="Z70" s="297">
        <f>кмс!AE70+МАКС!AE70+сол!AE70</f>
        <v>0</v>
      </c>
      <c r="AA70" s="297">
        <f>кмс!AH70+МАКС!AH70+сол!AH70</f>
        <v>0</v>
      </c>
      <c r="AB70" s="297">
        <f>кмс!AK70+МАКС!AK70+сол!AK70</f>
        <v>0</v>
      </c>
      <c r="AC70" s="297">
        <f>кмс!AN70+МАКС!AN70+сол!AN70+AF70</f>
        <v>0</v>
      </c>
      <c r="AD70" s="297">
        <f>кмс!AQ70+МАКС!AQ70+сол!AQ70</f>
        <v>0</v>
      </c>
      <c r="AE70" s="189">
        <f>[3]АЗИМУТ!$AG$124</f>
        <v>0</v>
      </c>
    </row>
    <row r="71" spans="1:32" ht="15" x14ac:dyDescent="0.2">
      <c r="A71" s="67">
        <v>59</v>
      </c>
      <c r="B71" s="67" t="s">
        <v>216</v>
      </c>
      <c r="C71" s="189">
        <f t="shared" si="61"/>
        <v>0</v>
      </c>
      <c r="D71" s="189">
        <f>кмс!D71+МАКС!D71+сол!D71+иногор!D71</f>
        <v>0</v>
      </c>
      <c r="E71" s="190"/>
      <c r="F71" s="189">
        <f t="shared" si="62"/>
        <v>5500</v>
      </c>
      <c r="G71" s="189">
        <f>кмс!G71+МАКС!G71+сол!G71+иногор!G71</f>
        <v>5030</v>
      </c>
      <c r="H71" s="191">
        <f>ROUND(G71/F71*100,1)</f>
        <v>91.5</v>
      </c>
      <c r="I71" s="189">
        <f t="shared" si="63"/>
        <v>0</v>
      </c>
      <c r="J71" s="189">
        <f>кмс!J71+МАКС!J71+сол!J71+иногор!J71</f>
        <v>0</v>
      </c>
      <c r="K71" s="191"/>
      <c r="L71" s="189">
        <f t="shared" si="64"/>
        <v>12833.333333333334</v>
      </c>
      <c r="M71" s="262">
        <f>кмс!M71+МАКС!M71+сол!M71+иногор!M71</f>
        <v>15684.960000000001</v>
      </c>
      <c r="N71" s="191">
        <f>ROUND(M71/L71*100,1)</f>
        <v>122.2</v>
      </c>
      <c r="O71" s="189">
        <f t="shared" si="65"/>
        <v>2933.3333333333335</v>
      </c>
      <c r="P71" s="189">
        <f>кмс!P71+МАКС!P71+сол!P71+иногор!P71</f>
        <v>2926</v>
      </c>
      <c r="Q71" s="191">
        <f>ROUND(P71/O71*100,1)</f>
        <v>99.8</v>
      </c>
      <c r="R71" s="189">
        <f t="shared" si="66"/>
        <v>0</v>
      </c>
      <c r="S71" s="189">
        <f>кмс!S71+МАКС!S71+сол!S71+иногор!S71+AE71</f>
        <v>0</v>
      </c>
      <c r="T71" s="191"/>
      <c r="U71" s="189">
        <f t="shared" si="67"/>
        <v>0</v>
      </c>
      <c r="V71" s="189"/>
      <c r="W71" s="191"/>
      <c r="X71" s="297">
        <f>кмс!Y71+МАКС!Y71+сол!Y71</f>
        <v>0</v>
      </c>
      <c r="Y71" s="297">
        <f>кмс!AB71+МАКС!AB71+сол!AB71</f>
        <v>6000</v>
      </c>
      <c r="Z71" s="297">
        <f>кмс!AE71+МАКС!AE71+сол!AE71</f>
        <v>0</v>
      </c>
      <c r="AA71" s="297">
        <f>кмс!AH71+МАКС!AH71+сол!AH71</f>
        <v>14000</v>
      </c>
      <c r="AB71" s="297">
        <f>кмс!AK71+МАКС!AK71+сол!AK71</f>
        <v>3200</v>
      </c>
      <c r="AC71" s="297">
        <f>кмс!AN71+МАКС!AN71+сол!AN71+AF71</f>
        <v>0</v>
      </c>
      <c r="AD71" s="297">
        <f>кмс!AQ71+МАКС!AQ71+сол!AQ71</f>
        <v>0</v>
      </c>
      <c r="AE71" s="189">
        <f>[3]БОБ!$AG$124</f>
        <v>0</v>
      </c>
    </row>
    <row r="72" spans="1:32" ht="15" x14ac:dyDescent="0.2">
      <c r="A72" s="67">
        <v>60</v>
      </c>
      <c r="B72" s="141" t="s">
        <v>217</v>
      </c>
      <c r="C72" s="189">
        <f t="shared" si="61"/>
        <v>0</v>
      </c>
      <c r="D72" s="189">
        <f>кмс!D72+МАКС!D72+сол!D72+иногор!D72</f>
        <v>0</v>
      </c>
      <c r="E72" s="190"/>
      <c r="F72" s="189">
        <f t="shared" si="62"/>
        <v>3666.6666666666665</v>
      </c>
      <c r="G72" s="189">
        <f>кмс!G72+МАКС!G72+сол!G72+иногор!G72</f>
        <v>3105</v>
      </c>
      <c r="H72" s="191">
        <f>ROUND(G72/F72*100,1)</f>
        <v>84.7</v>
      </c>
      <c r="I72" s="189">
        <f t="shared" si="63"/>
        <v>0</v>
      </c>
      <c r="J72" s="189">
        <f>кмс!J72+МАКС!J72+сол!J72+иногор!J72</f>
        <v>12</v>
      </c>
      <c r="K72" s="191"/>
      <c r="L72" s="189">
        <f t="shared" si="64"/>
        <v>12833.333333333334</v>
      </c>
      <c r="M72" s="262">
        <f>кмс!M72+МАКС!M72+сол!M72+иногор!M72</f>
        <v>14419.15</v>
      </c>
      <c r="N72" s="191">
        <f>ROUND(M72/L72*100,1)</f>
        <v>112.4</v>
      </c>
      <c r="O72" s="189">
        <f t="shared" si="65"/>
        <v>3208.3333333333335</v>
      </c>
      <c r="P72" s="189">
        <f>кмс!P72+МАКС!P72+сол!P72+иногор!P72</f>
        <v>2514.2399999999998</v>
      </c>
      <c r="Q72" s="191">
        <f>ROUND(P72/O72*100,1)</f>
        <v>78.400000000000006</v>
      </c>
      <c r="R72" s="189">
        <f t="shared" si="66"/>
        <v>0</v>
      </c>
      <c r="S72" s="189">
        <f>кмс!S72+МАКС!S72+сол!S72+иногор!S72+AE72</f>
        <v>0</v>
      </c>
      <c r="T72" s="191"/>
      <c r="U72" s="189">
        <f t="shared" si="67"/>
        <v>0</v>
      </c>
      <c r="V72" s="189"/>
      <c r="W72" s="191"/>
      <c r="X72" s="297">
        <f>кмс!Y72+МАКС!Y72+сол!Y72</f>
        <v>0</v>
      </c>
      <c r="Y72" s="297">
        <f>кмс!AB72+МАКС!AB72+сол!AB72</f>
        <v>4000</v>
      </c>
      <c r="Z72" s="297">
        <f>кмс!AE72+МАКС!AE72+сол!AE72</f>
        <v>0</v>
      </c>
      <c r="AA72" s="297">
        <f>кмс!AH72+МАКС!AH72+сол!AH72</f>
        <v>14000</v>
      </c>
      <c r="AB72" s="297">
        <f>кмс!AK72+МАКС!AK72+сол!AK72</f>
        <v>3500</v>
      </c>
      <c r="AC72" s="297">
        <f>кмс!AN72+МАКС!AN72+сол!AN72+AF72</f>
        <v>0</v>
      </c>
      <c r="AD72" s="297">
        <f>кмс!AQ72+МАКС!AQ72+сол!AQ72</f>
        <v>0</v>
      </c>
      <c r="AE72" s="189">
        <f>[3]УзШ!$AG$124</f>
        <v>0</v>
      </c>
    </row>
    <row r="73" spans="1:32" ht="15.75" thickBot="1" x14ac:dyDescent="0.25">
      <c r="A73" s="67">
        <v>61</v>
      </c>
      <c r="B73" s="67" t="s">
        <v>249</v>
      </c>
      <c r="C73" s="189">
        <f t="shared" si="61"/>
        <v>4583.3333333333339</v>
      </c>
      <c r="D73" s="189">
        <f>кмс!D73+МАКС!D73+сол!D73+иногор!D73</f>
        <v>3107</v>
      </c>
      <c r="E73" s="190">
        <f>ROUND(D73/C73*100,1)</f>
        <v>67.8</v>
      </c>
      <c r="F73" s="189">
        <f t="shared" si="62"/>
        <v>0</v>
      </c>
      <c r="G73" s="189">
        <f>кмс!G73+МАКС!G73+сол!G73+иногор!G73</f>
        <v>0</v>
      </c>
      <c r="H73" s="191"/>
      <c r="I73" s="189">
        <f t="shared" si="63"/>
        <v>0</v>
      </c>
      <c r="J73" s="189">
        <f>кмс!J73+МАКС!J73+сол!J73+иногор!J73</f>
        <v>0</v>
      </c>
      <c r="K73" s="191"/>
      <c r="L73" s="189">
        <f t="shared" si="64"/>
        <v>3666.6666666666665</v>
      </c>
      <c r="M73" s="262">
        <f>кмс!M73+МАКС!M73+сол!M73+иногор!M73</f>
        <v>1964</v>
      </c>
      <c r="N73" s="191">
        <f>ROUND(M73/L73*100,1)</f>
        <v>53.6</v>
      </c>
      <c r="O73" s="189">
        <f t="shared" si="65"/>
        <v>0</v>
      </c>
      <c r="P73" s="189">
        <f>кмс!P73+МАКС!P73+сол!P73+иногор!P73</f>
        <v>2</v>
      </c>
      <c r="Q73" s="191"/>
      <c r="R73" s="189">
        <f t="shared" si="66"/>
        <v>0</v>
      </c>
      <c r="S73" s="189">
        <f>кмс!S73+МАКС!S73+сол!S73+иногор!S73+AE73</f>
        <v>0</v>
      </c>
      <c r="T73" s="191"/>
      <c r="U73" s="189">
        <f t="shared" si="67"/>
        <v>10128.25</v>
      </c>
      <c r="V73" s="189">
        <f>кмс!V73+МАКС!V73+сол!V73+иногор!V73</f>
        <v>9400</v>
      </c>
      <c r="W73" s="191">
        <f>ROUND(V73/U73*100,1)</f>
        <v>92.8</v>
      </c>
      <c r="X73" s="297">
        <f>кмс!Y73+МАКС!Y73+сол!Y73</f>
        <v>5000</v>
      </c>
      <c r="Y73" s="297">
        <f>кмс!AB73+МАКС!AB73+сол!AB73</f>
        <v>0</v>
      </c>
      <c r="Z73" s="297">
        <f>кмс!AE73+МАКС!AE73+сол!AE73</f>
        <v>0</v>
      </c>
      <c r="AA73" s="297">
        <f>кмс!AH73+МАКС!AH73+сол!AH73</f>
        <v>4000</v>
      </c>
      <c r="AB73" s="297">
        <f>кмс!AK73+МАКС!AK73+сол!AK73</f>
        <v>0</v>
      </c>
      <c r="AC73" s="297">
        <f>кмс!AN73+МАКС!AN73+сол!AN73+AF73</f>
        <v>0</v>
      </c>
      <c r="AD73" s="297">
        <f>кмс!AQ73+МАКС!AQ73+сол!AQ73</f>
        <v>11049</v>
      </c>
      <c r="AE73" s="189">
        <f>[2]КРИСТ!$AG$124</f>
        <v>0</v>
      </c>
    </row>
    <row r="74" spans="1:32" ht="15" x14ac:dyDescent="0.25">
      <c r="A74" s="1"/>
      <c r="B74" s="94" t="s">
        <v>136</v>
      </c>
      <c r="C74" s="195">
        <f>C6+C16+C26+C34+C42+C49+C57</f>
        <v>1161088.5</v>
      </c>
      <c r="D74" s="195">
        <f>D6+D16+D26+D34+D42+D49+D57</f>
        <v>1113966</v>
      </c>
      <c r="E74" s="203">
        <f>ROUND(D74/C74*100,1)</f>
        <v>95.9</v>
      </c>
      <c r="F74" s="195">
        <f>F6+F16+F26+F34+F42+F49+F57</f>
        <v>417746.08333333331</v>
      </c>
      <c r="G74" s="195">
        <f>G6+G16+G26+G34+G42+G49+G57</f>
        <v>358019</v>
      </c>
      <c r="H74" s="196">
        <f>ROUND(G74/F74*100,1)</f>
        <v>85.7</v>
      </c>
      <c r="I74" s="195">
        <f>I6+I16+I26+I34+I42+I49+I57</f>
        <v>149354.75591666668</v>
      </c>
      <c r="J74" s="195">
        <f>J6+J16+J26+J34+J42+J49+J57</f>
        <v>101765</v>
      </c>
      <c r="K74" s="196">
        <f>ROUND(J74/I74*100,1)</f>
        <v>68.099999999999994</v>
      </c>
      <c r="L74" s="195">
        <f>L6+L16+L26+L34+L42+L49+L57</f>
        <v>3539163.833333333</v>
      </c>
      <c r="M74" s="350">
        <f>M6+M16+M26+M34+M42+M49+M57</f>
        <v>3490069.1710000006</v>
      </c>
      <c r="N74" s="196">
        <f>ROUND(M74/L74*100,1)</f>
        <v>98.6</v>
      </c>
      <c r="O74" s="195">
        <f>O6+O16+O26+O34+O42+O49+O57</f>
        <v>790728.58333333337</v>
      </c>
      <c r="P74" s="195">
        <f>P6+P16+P26+P34+P42+P49+P57</f>
        <v>630848.84</v>
      </c>
      <c r="Q74" s="196">
        <f>ROUND(P74/O74*100,1)</f>
        <v>79.8</v>
      </c>
      <c r="R74" s="195">
        <f>R6+R16+R26+R34+R42+R49+R57</f>
        <v>194095.00000000003</v>
      </c>
      <c r="S74" s="353">
        <f>S6+S16+S26+S34+S42+S49+S57</f>
        <v>184686</v>
      </c>
      <c r="T74" s="196">
        <f>ROUND(S74/R74*100,1)</f>
        <v>95.2</v>
      </c>
      <c r="U74" s="195">
        <f>U6+U16+U26+U34+U42+U49+U57</f>
        <v>17574.333333333332</v>
      </c>
      <c r="V74" s="353">
        <f>V6+V16+V26+V34+V42+V49+V57</f>
        <v>16981</v>
      </c>
      <c r="W74" s="196">
        <f>ROUND(V74/U74*100,1)</f>
        <v>96.6</v>
      </c>
      <c r="X74" s="195">
        <f t="shared" ref="X74:AD74" si="69">X6+X16+X26+X34+X42+X49+X57</f>
        <v>1266642</v>
      </c>
      <c r="Y74" s="298">
        <f t="shared" si="69"/>
        <v>455723</v>
      </c>
      <c r="Z74" s="298">
        <f t="shared" si="69"/>
        <v>162932.46100000001</v>
      </c>
      <c r="AA74" s="195">
        <f t="shared" si="69"/>
        <v>3860906</v>
      </c>
      <c r="AB74" s="195">
        <f t="shared" si="69"/>
        <v>862613</v>
      </c>
      <c r="AC74" s="195">
        <f t="shared" si="69"/>
        <v>211740</v>
      </c>
      <c r="AD74" s="195">
        <f t="shared" si="69"/>
        <v>19172</v>
      </c>
      <c r="AE74" s="194">
        <f>AE6+AE16+AE26+AE34+AE42+AE49+AE57</f>
        <v>28469</v>
      </c>
      <c r="AF74" s="194">
        <f>AF6+AF16+AF26+AF34+AF42+AF49+AF57</f>
        <v>35153</v>
      </c>
    </row>
    <row r="75" spans="1:32" ht="14.25" x14ac:dyDescent="0.2"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202"/>
      <c r="AD75" s="90"/>
    </row>
    <row r="76" spans="1:32" ht="14.25" x14ac:dyDescent="0.2">
      <c r="B76" t="s">
        <v>267</v>
      </c>
      <c r="C76" s="198"/>
      <c r="D76" s="198"/>
      <c r="E76" s="197"/>
      <c r="F76" s="198"/>
      <c r="G76" s="198"/>
      <c r="H76" s="197"/>
      <c r="I76" s="198"/>
      <c r="J76" s="20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AD76" s="90"/>
    </row>
    <row r="77" spans="1:32" ht="14.25" hidden="1" x14ac:dyDescent="0.2">
      <c r="B77" t="s">
        <v>255</v>
      </c>
      <c r="C77" s="198" t="e">
        <f>C73+C70+C69+C68+C67+C66+C65+C64+C63+C61+#REF!+#REF!+C47+C44+C39+C38+C33+C31+C28+C22+C13+C12+C8+C19+C18+C17</f>
        <v>#REF!</v>
      </c>
      <c r="D77" s="198" t="e">
        <f>D73+D70+D69+D68+D67+D66+D65+D64+D63+D61+#REF!+#REF!+D47+D44+D39+D38+D33+D31+D28+D22+D13+D12+D8+D19+D18+D17</f>
        <v>#REF!</v>
      </c>
      <c r="E77" s="197"/>
      <c r="F77" s="198" t="e">
        <f>F73+F70+F69+F68+F67+F66+F65+F64+F63+F61+#REF!+#REF!+F47+F44+F39+F38+F33+F31+F28+F22+F13+F12+F8+F19+F18+F17</f>
        <v>#REF!</v>
      </c>
      <c r="G77" s="198" t="e">
        <f>G73+G70+G69+G68+G67+G66+G65+G64+G63+G61+#REF!+#REF!+G47+G44+G39+G38+G33+G31+G28+G22+G13+G12+G8+G19+G18+G17</f>
        <v>#REF!</v>
      </c>
      <c r="H77" s="197"/>
      <c r="I77" s="198" t="e">
        <f>I73+I70+I69+I68+I67+I66+I65+I64+I63+I61+#REF!+#REF!+I47+I44+I39+I38+I33+I31+I28+I22+I13+I12+I8+I19+I18+I17</f>
        <v>#REF!</v>
      </c>
      <c r="J77" s="198" t="e">
        <f>J73+J70+J69+J68+J67+J66+J65+J64+J63+J61+#REF!+#REF!+J47+J44+J39+J38+J33+J31+J28+J22+J13+J12+J8+J19+J18+J17</f>
        <v>#REF!</v>
      </c>
      <c r="K77" s="197"/>
      <c r="L77" s="198" t="e">
        <f>L73+L70+L69+L68+L67+L66+L65+L64+L63+L61+#REF!+#REF!+L47+L44+L39+L38+L33+L31+L28+L22+L13+L12+L8+L19+L18+L17</f>
        <v>#REF!</v>
      </c>
      <c r="M77" s="207" t="e">
        <f>M73+M70+M69+M68+M67+M66+M65+M64+M63+M61+#REF!+#REF!+M47+M44+M39+M38+M33+M31+M28+M22+M13+M12+M8+M19+M18+M17</f>
        <v>#REF!</v>
      </c>
      <c r="N77" s="197"/>
      <c r="O77" s="198" t="e">
        <f>O73+O70+O69+O68+O67+O66+O65+O64+O63+O61+#REF!+#REF!+O47+O44+O39+O38+O33+O31+O28+O22+O13+O12+O8+O19+O18+O17</f>
        <v>#REF!</v>
      </c>
      <c r="P77" s="198" t="e">
        <f>P73+P70+P69+P68+P67+P66+P65+P64+P63+P61+#REF!+#REF!+P47+P44+P39+P38+P33+P31+P28+P22+P13+P12+P8+P19+P18+P17</f>
        <v>#REF!</v>
      </c>
      <c r="Q77" s="197"/>
      <c r="R77" s="198" t="e">
        <f>R73+R70+R69+R68+R67+R66+R65+R64+R63+R61+#REF!+#REF!+R47+R44+R39+R38+R33+R31+R28+R22+R13+R12+R8+R19+R18+R17</f>
        <v>#REF!</v>
      </c>
      <c r="S77" s="198" t="e">
        <f>S73+S70+S69+S68+S67+S66+S65+S64+S63+S61+#REF!+#REF!+S47+S44+S39+S38+S33+S31+S28+S22+S13+S12+S8+S19+S18+S17</f>
        <v>#REF!</v>
      </c>
      <c r="T77" s="197"/>
      <c r="U77" s="198" t="e">
        <f>U73+U70+U69+U68+U67+U66+U65+U64+U63+U61+#REF!+#REF!+U47+U44+U39+U38+U33+U31+U28+U22+U13+U12+U8+U19+U18+U17</f>
        <v>#REF!</v>
      </c>
      <c r="V77" s="198" t="e">
        <f>V73+V70+V69+V68+V67+V66+V65+V64+V63+V61+#REF!+#REF!+V47+V44+V39+V38+V33+V31+V28+V22+V13+V12+V8+V19+V18+V17</f>
        <v>#REF!</v>
      </c>
      <c r="W77" s="197"/>
      <c r="AD77" s="90"/>
    </row>
    <row r="78" spans="1:32" ht="14.25" hidden="1" x14ac:dyDescent="0.2">
      <c r="B78" t="s">
        <v>256</v>
      </c>
      <c r="C78" s="250" t="e">
        <f>C72+C71+#REF!++#REF!+C37+C36+C35+C30+C29+C23+#REF!+C11+C10+C9+C7+C60+C59+C55</f>
        <v>#REF!</v>
      </c>
      <c r="D78" s="250" t="e">
        <f>D72+D71+#REF!++#REF!+D37+D36+D35+D30+D29+D23+#REF!+D11+D10+D9+D7+D60+D59+D55</f>
        <v>#REF!</v>
      </c>
      <c r="E78" s="197"/>
      <c r="F78" s="250" t="e">
        <f>F72+F71+#REF!++#REF!+F37+F36+F35+F30+F29+F23+#REF!+F11+F10+F9+F7+F60+F59+F55</f>
        <v>#REF!</v>
      </c>
      <c r="G78" s="250" t="e">
        <f>G72+G71+#REF!++#REF!+G37+G36+G35+G30+G29+G23+#REF!+G11+G10+G9+G7+G60+G59+G55</f>
        <v>#REF!</v>
      </c>
      <c r="H78" s="197"/>
      <c r="I78" s="250" t="e">
        <f>I72+I71+#REF!++#REF!+I37+I36+I35+I30+I29+I23+#REF!+I11+I10+I9+I7+I60+I59+I55</f>
        <v>#REF!</v>
      </c>
      <c r="J78" s="250" t="e">
        <f>J72+J71+#REF!++#REF!+J37+J36+J35+J30+J29+J23+#REF!+J11+J10+J9+J7+J60+J59+J55</f>
        <v>#REF!</v>
      </c>
      <c r="K78" s="197"/>
      <c r="L78" s="250" t="e">
        <f>L72+L71+#REF!++#REF!+L37+L36+L35+L30+L29+L23+#REF!+L11+L10+L9+L7+L60+L59+L55</f>
        <v>#REF!</v>
      </c>
      <c r="M78" s="273" t="e">
        <f>M72+M71+#REF!++#REF!+M37+M36+M35+M30+M29+M23+#REF!+M11+M10+M9+M7+M60+M59+M55</f>
        <v>#REF!</v>
      </c>
      <c r="N78" s="197"/>
      <c r="O78" s="250" t="e">
        <f>O72+O71+#REF!++#REF!+O37+O36+O35+O30+O29+O23+#REF!+O11+O10+O9+O7+O60+O59+O55</f>
        <v>#REF!</v>
      </c>
      <c r="P78" s="250" t="e">
        <f>P72+P71+#REF!++#REF!+P37+P36+P35+P30+P29+P23+#REF!+P11+P10+P9+P7+P60+P59+P55</f>
        <v>#REF!</v>
      </c>
      <c r="Q78" s="197"/>
      <c r="R78" s="250" t="e">
        <f>R72+R71+#REF!++#REF!+R37+R36+R35+R30+R29+R23+#REF!+R11+R10+R9+R7+R60+R59+R55</f>
        <v>#REF!</v>
      </c>
      <c r="S78" s="250" t="e">
        <f>S72+S71+#REF!++#REF!+S37+S36+S35+S30+S29+S23+#REF!+S11+S10+S9+S7+S60+S59+S55</f>
        <v>#REF!</v>
      </c>
      <c r="T78" s="197"/>
      <c r="U78" s="250" t="e">
        <f>U72+U71+#REF!++#REF!+U37+U36+U35+U30+U29+U23+#REF!+U11+U10+U9+U7+U40++U60+U59</f>
        <v>#REF!</v>
      </c>
      <c r="V78" s="250" t="e">
        <f>V72+V71+#REF!++#REF!+V37+V36+V35+V30+V29+V23+#REF!+V11+V10+V9+V7+V40++V60+V59</f>
        <v>#REF!</v>
      </c>
      <c r="W78" s="197"/>
      <c r="AD78" s="90"/>
    </row>
    <row r="79" spans="1:32" ht="14.25" hidden="1" x14ac:dyDescent="0.2">
      <c r="B79" t="s">
        <v>257</v>
      </c>
      <c r="C79" s="198" t="e">
        <f>C62+C58+C56+C54+C53+C52+C46+#REF!+C45+C43+C41+C40+C32+C27+C24+C21+C20</f>
        <v>#REF!</v>
      </c>
      <c r="D79" s="198" t="e">
        <f>D62+D58+D56+D54+D53+D52+D46+#REF!+D45+D43+D41+D40+D32+D27+D24+D21+D20</f>
        <v>#REF!</v>
      </c>
      <c r="E79" s="197"/>
      <c r="F79" s="198" t="e">
        <f>F62+F58+F56+F54+F53+F52+F46+#REF!+F45+F43+F41+F40+F32+F27+F24+F21+F20</f>
        <v>#REF!</v>
      </c>
      <c r="G79" s="198" t="e">
        <f>G62+G58+G56+G54+G53+G52+G46+#REF!+G45+G43+G41+G40+G32+G27+G24+G21+G20</f>
        <v>#REF!</v>
      </c>
      <c r="H79" s="197"/>
      <c r="I79" s="198" t="e">
        <f>I62+I58+I56+I54+I53+I52+I46+#REF!+I45+I43+I41+I40+I32+I27+I24+I21+I20</f>
        <v>#REF!</v>
      </c>
      <c r="J79" s="198" t="e">
        <f>J62+J58+J56+J54+J53+J52+J46+#REF!+J45+J43+J41+J40+J32+J27+J24+J21+J20</f>
        <v>#REF!</v>
      </c>
      <c r="K79" s="197"/>
      <c r="L79" s="198" t="e">
        <f>L62+L58+L56+L54+L53+L52+L46+#REF!+L45+L43+L41+L40+L32+L27+L24+L21+L20</f>
        <v>#REF!</v>
      </c>
      <c r="M79" s="207" t="e">
        <f>M62+M58+M56+M54+M53+M52+M46+#REF!+M45+M43+M41+M40+M32+M27+M24+M21+M20</f>
        <v>#REF!</v>
      </c>
      <c r="N79" s="197"/>
      <c r="O79" s="198" t="e">
        <f>O62+O58+O56+O54+O53+O52+O46+#REF!+O45+O43+O41+O40+O32+O27+O24+O21+O20</f>
        <v>#REF!</v>
      </c>
      <c r="P79" s="198" t="e">
        <f>P62+P58+P56+P54+P53+P52+P46+#REF!+P45+P43+P41+P40+P32+P27+P24+P21+P20</f>
        <v>#REF!</v>
      </c>
      <c r="Q79" s="197"/>
      <c r="R79" s="198" t="e">
        <f>R62+R58+R56+R54+R53+R52+R46+#REF!+R45+R43+R41+R40+R32+R27+R24+R21+R20</f>
        <v>#REF!</v>
      </c>
      <c r="S79" s="198" t="e">
        <f>S62+S58+S56+S54+S53+S52+S46+#REF!+S45+S43+S41+S40+S32+S27+S24+S21+S20</f>
        <v>#REF!</v>
      </c>
      <c r="T79" s="197"/>
      <c r="U79" s="198" t="e">
        <f>U62+U58+U56+U54+U53+U52+U46+#REF!+U45+U43+U41+U40+U32+U27+U24+U21+U20</f>
        <v>#REF!</v>
      </c>
      <c r="V79" s="198" t="e">
        <f>V62+V58+V56+V54+V53+V52+V46+#REF!+V45+V43+V41+V40+V32+V27+V24+V21+V20</f>
        <v>#REF!</v>
      </c>
      <c r="W79" s="197"/>
      <c r="AD79" s="90"/>
    </row>
    <row r="80" spans="1:32" ht="14.25" hidden="1" x14ac:dyDescent="0.2">
      <c r="C80" s="198" t="e">
        <f>SUM(C77:C79)</f>
        <v>#REF!</v>
      </c>
      <c r="D80" s="198" t="e">
        <f>SUM(D77:D79)</f>
        <v>#REF!</v>
      </c>
      <c r="E80" s="197"/>
      <c r="F80" s="198" t="e">
        <f>SUM(F77:F79)</f>
        <v>#REF!</v>
      </c>
      <c r="G80" s="198" t="e">
        <f>SUM(G77:G79)</f>
        <v>#REF!</v>
      </c>
      <c r="H80" s="197"/>
      <c r="I80" s="198" t="e">
        <f>SUM(I77:I79)</f>
        <v>#REF!</v>
      </c>
      <c r="J80" s="198" t="e">
        <f>SUM(J77:J79)</f>
        <v>#REF!</v>
      </c>
      <c r="K80" s="197"/>
      <c r="L80" s="198" t="e">
        <f>SUM(L77:L79)</f>
        <v>#REF!</v>
      </c>
      <c r="M80" s="207" t="e">
        <f>SUM(M77:M79)</f>
        <v>#REF!</v>
      </c>
      <c r="N80" s="197"/>
      <c r="O80" s="198" t="e">
        <f>SUM(O77:O79)</f>
        <v>#REF!</v>
      </c>
      <c r="P80" s="198" t="e">
        <f>SUM(P77:P79)</f>
        <v>#REF!</v>
      </c>
      <c r="Q80" s="197"/>
      <c r="R80" s="198" t="e">
        <f>SUM(R77:R79)</f>
        <v>#REF!</v>
      </c>
      <c r="S80" s="198" t="e">
        <f>SUM(S77:S79)</f>
        <v>#REF!</v>
      </c>
      <c r="T80" s="197"/>
      <c r="U80" s="198" t="e">
        <f>SUM(U77:U79)</f>
        <v>#REF!</v>
      </c>
      <c r="V80" s="198" t="e">
        <f>SUM(V77:V79)</f>
        <v>#REF!</v>
      </c>
      <c r="W80" s="197"/>
      <c r="AD80" s="90"/>
    </row>
    <row r="81" spans="3:30" ht="14.25" x14ac:dyDescent="0.2"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AD81" s="90"/>
    </row>
    <row r="82" spans="3:30" ht="14.25" x14ac:dyDescent="0.2"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AD82" s="90"/>
    </row>
    <row r="83" spans="3:30" ht="14.25" x14ac:dyDescent="0.2">
      <c r="C83" s="197"/>
      <c r="D83" s="197"/>
      <c r="E83" s="197"/>
      <c r="F83" s="197"/>
      <c r="G83" s="197"/>
      <c r="H83" s="197"/>
      <c r="I83" s="198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Z83" s="251"/>
      <c r="AD83" s="90"/>
    </row>
    <row r="84" spans="3:30" x14ac:dyDescent="0.2">
      <c r="AD84" s="90"/>
    </row>
    <row r="85" spans="3:30" x14ac:dyDescent="0.2">
      <c r="AD85" s="90"/>
    </row>
    <row r="86" spans="3:30" x14ac:dyDescent="0.2">
      <c r="R86">
        <f>47964-47688</f>
        <v>276</v>
      </c>
      <c r="AD86" s="90"/>
    </row>
    <row r="87" spans="3:30" x14ac:dyDescent="0.2">
      <c r="AD87" s="90"/>
    </row>
    <row r="88" spans="3:30" x14ac:dyDescent="0.2">
      <c r="AD88" s="90"/>
    </row>
    <row r="89" spans="3:30" x14ac:dyDescent="0.2">
      <c r="AD89" s="90"/>
    </row>
    <row r="90" spans="3:30" x14ac:dyDescent="0.2">
      <c r="AD90" s="90"/>
    </row>
    <row r="91" spans="3:30" x14ac:dyDescent="0.2">
      <c r="AD91" s="90"/>
    </row>
    <row r="92" spans="3:30" x14ac:dyDescent="0.2">
      <c r="AD92" s="90"/>
    </row>
    <row r="93" spans="3:30" x14ac:dyDescent="0.2">
      <c r="AD93" s="90"/>
    </row>
    <row r="94" spans="3:30" ht="12" customHeight="1" x14ac:dyDescent="0.2"/>
  </sheetData>
  <mergeCells count="19">
    <mergeCell ref="A6:B6"/>
    <mergeCell ref="A57:B57"/>
    <mergeCell ref="F3:H3"/>
    <mergeCell ref="A4:B4"/>
    <mergeCell ref="A16:B16"/>
    <mergeCell ref="A26:B26"/>
    <mergeCell ref="A34:B34"/>
    <mergeCell ref="A42:B42"/>
    <mergeCell ref="A49:B49"/>
    <mergeCell ref="Z4:AB4"/>
    <mergeCell ref="A1:AD1"/>
    <mergeCell ref="L3:N3"/>
    <mergeCell ref="O3:Q3"/>
    <mergeCell ref="R3:T3"/>
    <mergeCell ref="U3:W3"/>
    <mergeCell ref="A2:Z2"/>
    <mergeCell ref="C3:E3"/>
    <mergeCell ref="I3:K3"/>
    <mergeCell ref="X3:AD3"/>
  </mergeCells>
  <phoneticPr fontId="0" type="noConversion"/>
  <pageMargins left="0" right="0" top="0" bottom="0" header="0" footer="0"/>
  <pageSetup paperSize="9" scale="21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4"/>
  <sheetViews>
    <sheetView topLeftCell="B1" workbookViewId="0">
      <pane xSplit="1" ySplit="5" topLeftCell="C6" activePane="bottomRight" state="frozen"/>
      <selection activeCell="AQ73" sqref="AQ73"/>
      <selection pane="topRight" activeCell="AQ73" sqref="AQ73"/>
      <selection pane="bottomLeft" activeCell="AQ73" sqref="AQ73"/>
      <selection pane="bottomRight" activeCell="A9" sqref="A9"/>
    </sheetView>
  </sheetViews>
  <sheetFormatPr defaultRowHeight="12.75" x14ac:dyDescent="0.2"/>
  <cols>
    <col min="2" max="2" width="88.7109375" customWidth="1"/>
    <col min="3" max="3" width="12.28515625" hidden="1" customWidth="1"/>
    <col min="4" max="5" width="15.5703125" customWidth="1"/>
    <col min="6" max="6" width="14.140625" hidden="1" customWidth="1"/>
    <col min="7" max="7" width="11.140625" customWidth="1"/>
    <col min="8" max="8" width="14.5703125" customWidth="1"/>
    <col min="9" max="9" width="13" hidden="1" customWidth="1"/>
    <col min="10" max="10" width="11.140625" customWidth="1"/>
    <col min="12" max="12" width="15.28515625" hidden="1" customWidth="1"/>
    <col min="13" max="13" width="14.140625" customWidth="1"/>
    <col min="15" max="15" width="9.5703125" hidden="1" customWidth="1"/>
    <col min="16" max="17" width="14.5703125" customWidth="1"/>
    <col min="18" max="18" width="10" hidden="1" customWidth="1"/>
    <col min="19" max="19" width="10" bestFit="1" customWidth="1"/>
    <col min="20" max="20" width="14.5703125" customWidth="1"/>
    <col min="21" max="21" width="14.5703125" hidden="1" customWidth="1"/>
    <col min="22" max="22" width="11" customWidth="1"/>
    <col min="24" max="24" width="12.28515625" hidden="1" customWidth="1"/>
    <col min="25" max="54" width="0" hidden="1" customWidth="1"/>
  </cols>
  <sheetData>
    <row r="1" spans="1:44" ht="16.5" thickBot="1" x14ac:dyDescent="0.3">
      <c r="A1" s="25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</row>
    <row r="2" spans="1:44" ht="15.75" thickBot="1" x14ac:dyDescent="0.3">
      <c r="A2" s="258"/>
      <c r="B2" s="259"/>
      <c r="C2" s="398"/>
      <c r="D2" s="399"/>
      <c r="E2" s="399"/>
      <c r="F2" s="399"/>
      <c r="G2" s="400"/>
      <c r="H2" s="399"/>
      <c r="I2" s="399"/>
      <c r="J2" s="401"/>
      <c r="K2" s="400"/>
      <c r="L2" s="399"/>
      <c r="M2" s="399"/>
      <c r="N2" s="401"/>
      <c r="O2" s="399"/>
      <c r="P2" s="399"/>
      <c r="Q2" s="399"/>
      <c r="R2" s="399"/>
      <c r="S2" s="398"/>
      <c r="T2" s="399"/>
      <c r="U2" s="399"/>
      <c r="V2" s="402"/>
      <c r="W2" s="260"/>
    </row>
    <row r="3" spans="1:44" ht="19.5" thickBot="1" x14ac:dyDescent="0.35">
      <c r="A3" s="34"/>
      <c r="B3" s="35"/>
      <c r="C3" s="384" t="s">
        <v>0</v>
      </c>
      <c r="D3" s="385"/>
      <c r="E3" s="386"/>
      <c r="F3" s="384" t="s">
        <v>1</v>
      </c>
      <c r="G3" s="385"/>
      <c r="H3" s="385"/>
      <c r="I3" s="379" t="s">
        <v>184</v>
      </c>
      <c r="J3" s="380"/>
      <c r="K3" s="381"/>
      <c r="L3" s="379" t="s">
        <v>101</v>
      </c>
      <c r="M3" s="380"/>
      <c r="N3" s="381"/>
      <c r="O3" s="379" t="s">
        <v>185</v>
      </c>
      <c r="P3" s="380"/>
      <c r="Q3" s="381"/>
      <c r="R3" s="379" t="s">
        <v>172</v>
      </c>
      <c r="S3" s="380"/>
      <c r="T3" s="381"/>
      <c r="U3" s="379" t="s">
        <v>173</v>
      </c>
      <c r="V3" s="380"/>
      <c r="W3" s="381"/>
    </row>
    <row r="4" spans="1:44" ht="15.75" x14ac:dyDescent="0.25">
      <c r="A4" s="393" t="s">
        <v>41</v>
      </c>
      <c r="B4" s="394"/>
      <c r="C4" s="36" t="s">
        <v>40</v>
      </c>
      <c r="D4" s="37" t="s">
        <v>42</v>
      </c>
      <c r="E4" s="43" t="s">
        <v>39</v>
      </c>
      <c r="F4" s="37" t="s">
        <v>40</v>
      </c>
      <c r="G4" s="37" t="s">
        <v>42</v>
      </c>
      <c r="H4" s="38" t="s">
        <v>39</v>
      </c>
      <c r="I4" s="218" t="s">
        <v>40</v>
      </c>
      <c r="J4" s="37" t="s">
        <v>42</v>
      </c>
      <c r="K4" s="219" t="s">
        <v>39</v>
      </c>
      <c r="L4" s="218" t="s">
        <v>40</v>
      </c>
      <c r="M4" s="37" t="s">
        <v>42</v>
      </c>
      <c r="N4" s="219" t="s">
        <v>39</v>
      </c>
      <c r="O4" s="218" t="s">
        <v>40</v>
      </c>
      <c r="P4" s="37" t="s">
        <v>42</v>
      </c>
      <c r="Q4" s="219" t="s">
        <v>39</v>
      </c>
      <c r="R4" s="218" t="s">
        <v>40</v>
      </c>
      <c r="S4" s="37" t="s">
        <v>42</v>
      </c>
      <c r="T4" s="219" t="s">
        <v>39</v>
      </c>
      <c r="U4" s="218" t="s">
        <v>40</v>
      </c>
      <c r="V4" s="37" t="s">
        <v>42</v>
      </c>
      <c r="W4" s="219" t="s">
        <v>39</v>
      </c>
    </row>
    <row r="5" spans="1:44" ht="15.75" thickBot="1" x14ac:dyDescent="0.25">
      <c r="A5" s="47"/>
      <c r="B5" s="48"/>
      <c r="C5" s="49" t="s">
        <v>50</v>
      </c>
      <c r="D5" s="49" t="s">
        <v>50</v>
      </c>
      <c r="E5" s="53"/>
      <c r="F5" s="49" t="s">
        <v>50</v>
      </c>
      <c r="G5" s="51" t="s">
        <v>50</v>
      </c>
      <c r="H5" s="50"/>
      <c r="I5" s="49" t="s">
        <v>53</v>
      </c>
      <c r="J5" s="51" t="s">
        <v>53</v>
      </c>
      <c r="K5" s="54"/>
      <c r="L5" s="49" t="s">
        <v>53</v>
      </c>
      <c r="M5" s="51" t="s">
        <v>53</v>
      </c>
      <c r="N5" s="54"/>
      <c r="O5" s="49" t="s">
        <v>53</v>
      </c>
      <c r="P5" s="51" t="s">
        <v>53</v>
      </c>
      <c r="Q5" s="54"/>
      <c r="R5" s="49" t="s">
        <v>53</v>
      </c>
      <c r="S5" s="51" t="s">
        <v>53</v>
      </c>
      <c r="T5" s="54"/>
      <c r="U5" s="49" t="s">
        <v>53</v>
      </c>
      <c r="V5" s="51" t="s">
        <v>53</v>
      </c>
      <c r="W5" s="54"/>
      <c r="AD5" t="s">
        <v>195</v>
      </c>
      <c r="AM5" t="s">
        <v>195</v>
      </c>
    </row>
    <row r="6" spans="1:44" ht="15" x14ac:dyDescent="0.25">
      <c r="A6" s="403" t="s">
        <v>124</v>
      </c>
      <c r="B6" s="404"/>
      <c r="C6" s="186">
        <f>SUM(C7:C15)</f>
        <v>0</v>
      </c>
      <c r="D6" s="186">
        <f>SUM(D7:D15)</f>
        <v>6435</v>
      </c>
      <c r="E6" s="187"/>
      <c r="F6" s="186">
        <f>SUM(F7:F15)</f>
        <v>0</v>
      </c>
      <c r="G6" s="186">
        <f>SUM(G7:G15)</f>
        <v>825</v>
      </c>
      <c r="H6" s="188"/>
      <c r="I6" s="186">
        <f>SUM(I7:I15)</f>
        <v>0</v>
      </c>
      <c r="J6" s="186">
        <f>SUM(J7:J15)</f>
        <v>3</v>
      </c>
      <c r="K6" s="188"/>
      <c r="L6" s="186">
        <f>SUM(L7:L15)</f>
        <v>0</v>
      </c>
      <c r="M6" s="186">
        <f>SUM(M7:M15)</f>
        <v>6580.9210000000003</v>
      </c>
      <c r="N6" s="188"/>
      <c r="O6" s="186">
        <f>SUM(O7:O15)</f>
        <v>0</v>
      </c>
      <c r="P6" s="186">
        <f>SUM(P7:P15)</f>
        <v>1062</v>
      </c>
      <c r="Q6" s="188"/>
      <c r="R6" s="186">
        <f>SUM(R7:R15)</f>
        <v>0</v>
      </c>
      <c r="S6" s="186">
        <f>SUM(S7:S15)</f>
        <v>0</v>
      </c>
      <c r="T6" s="188"/>
      <c r="U6" s="186">
        <f>SUM(U7:U15)</f>
        <v>0</v>
      </c>
      <c r="V6" s="186">
        <f>SUM(V7:V15)</f>
        <v>0</v>
      </c>
      <c r="W6" s="188"/>
      <c r="X6" s="186">
        <f t="shared" ref="X6:AE6" si="0">SUM(X7:X15)</f>
        <v>71000</v>
      </c>
      <c r="Y6" s="186">
        <f t="shared" si="0"/>
        <v>0</v>
      </c>
      <c r="Z6" s="186">
        <f t="shared" si="0"/>
        <v>0</v>
      </c>
      <c r="AA6" s="186">
        <f t="shared" si="0"/>
        <v>0</v>
      </c>
      <c r="AB6" s="186">
        <f t="shared" si="0"/>
        <v>0</v>
      </c>
      <c r="AC6" s="186">
        <f t="shared" si="0"/>
        <v>0</v>
      </c>
      <c r="AD6" s="186">
        <f t="shared" si="0"/>
        <v>9297</v>
      </c>
      <c r="AE6" s="186">
        <f t="shared" si="0"/>
        <v>0</v>
      </c>
      <c r="AG6" s="113">
        <f>SUM(AG7:AG15)</f>
        <v>319464</v>
      </c>
      <c r="AH6" s="127">
        <f>SUM(AH7:AH15)</f>
        <v>0</v>
      </c>
      <c r="AJ6">
        <f>SUM(AJ7:AJ15)</f>
        <v>26589</v>
      </c>
      <c r="AK6">
        <f>SUM(AK7:AK15)</f>
        <v>0</v>
      </c>
      <c r="AM6">
        <f>SUM(AM7:AM15)</f>
        <v>0</v>
      </c>
      <c r="AN6">
        <f>SUM(AN7:AN15)</f>
        <v>0</v>
      </c>
      <c r="AP6">
        <f>SUM(AP7:AP15)</f>
        <v>0</v>
      </c>
      <c r="AQ6">
        <f>SUM(AQ7:AQ15)</f>
        <v>0</v>
      </c>
    </row>
    <row r="7" spans="1:44" ht="15" x14ac:dyDescent="0.2">
      <c r="A7" s="66">
        <v>1</v>
      </c>
      <c r="B7" s="141" t="s">
        <v>224</v>
      </c>
      <c r="C7" s="189"/>
      <c r="D7" s="189">
        <f>[3]ОБЛАСТ!$C$124</f>
        <v>4193</v>
      </c>
      <c r="E7" s="190"/>
      <c r="F7" s="189"/>
      <c r="G7" s="189">
        <f>[3]ОБЛАСТ!$O$124</f>
        <v>0</v>
      </c>
      <c r="H7" s="191"/>
      <c r="I7" s="189"/>
      <c r="J7" s="189">
        <f>[3]ОБЛАСТ!$W$124</f>
        <v>0</v>
      </c>
      <c r="K7" s="191"/>
      <c r="L7" s="189"/>
      <c r="M7" s="189">
        <f>[3]ОБЛАСТ!$S$124</f>
        <v>1068.6099999999999</v>
      </c>
      <c r="N7" s="191"/>
      <c r="O7" s="189"/>
      <c r="P7" s="189">
        <f>[3]ОБЛАСТ!$AA$124</f>
        <v>0</v>
      </c>
      <c r="Q7" s="191"/>
      <c r="R7" s="189">
        <f>X7/12*4</f>
        <v>0</v>
      </c>
      <c r="S7" s="189">
        <f>[3]ОБЛАСТ!$G$124</f>
        <v>0</v>
      </c>
      <c r="T7" s="191"/>
      <c r="U7" s="189">
        <f>AA7/12*4</f>
        <v>0</v>
      </c>
      <c r="V7" s="189">
        <f>[3]ОБЛАСТ!$K$124</f>
        <v>0</v>
      </c>
      <c r="W7" s="191"/>
      <c r="AA7" s="291"/>
      <c r="AB7" s="127"/>
      <c r="AG7" s="286"/>
      <c r="AH7" s="127"/>
      <c r="AJ7" s="288">
        <v>0</v>
      </c>
      <c r="AM7" s="289"/>
    </row>
    <row r="8" spans="1:44" ht="15" x14ac:dyDescent="0.2">
      <c r="A8" s="66">
        <v>2</v>
      </c>
      <c r="B8" s="141" t="s">
        <v>223</v>
      </c>
      <c r="C8" s="189"/>
      <c r="D8" s="189">
        <f>[2]госп!$C$124</f>
        <v>514</v>
      </c>
      <c r="E8" s="190"/>
      <c r="F8" s="189"/>
      <c r="G8" s="189">
        <f>[2]госп!$O$124</f>
        <v>87</v>
      </c>
      <c r="H8" s="191"/>
      <c r="I8" s="189"/>
      <c r="J8" s="189">
        <f>[2]госп!$W$124</f>
        <v>0</v>
      </c>
      <c r="K8" s="191"/>
      <c r="L8" s="189"/>
      <c r="M8" s="189">
        <f>[2]госп!$S$124</f>
        <v>512.82000000000005</v>
      </c>
      <c r="N8" s="191"/>
      <c r="O8" s="189"/>
      <c r="P8" s="189">
        <f>[2]госп!$AA$124</f>
        <v>88</v>
      </c>
      <c r="Q8" s="191"/>
      <c r="R8" s="189">
        <f t="shared" ref="R8:R13" si="1">X8/12*4</f>
        <v>0</v>
      </c>
      <c r="S8" s="189">
        <f>[2]госп!$G$124</f>
        <v>0</v>
      </c>
      <c r="T8" s="191"/>
      <c r="U8" s="189">
        <f t="shared" ref="U8:U13" si="2">AA8/12*4</f>
        <v>0</v>
      </c>
      <c r="V8" s="189">
        <f>[2]госп!$K$124</f>
        <v>0</v>
      </c>
      <c r="W8" s="191"/>
      <c r="AA8" s="291"/>
      <c r="AB8" s="127"/>
      <c r="AG8" s="286"/>
      <c r="AH8" s="127"/>
      <c r="AJ8" s="288"/>
      <c r="AM8" s="289"/>
    </row>
    <row r="9" spans="1:44" ht="15" x14ac:dyDescent="0.2">
      <c r="A9" s="66">
        <v>3</v>
      </c>
      <c r="B9" s="141" t="s">
        <v>222</v>
      </c>
      <c r="C9" s="189"/>
      <c r="D9" s="189">
        <f>[3]КАРД!$C$124</f>
        <v>604</v>
      </c>
      <c r="E9" s="190"/>
      <c r="F9" s="189"/>
      <c r="G9" s="189">
        <f>[3]КАРД!$O$124</f>
        <v>172</v>
      </c>
      <c r="H9" s="191"/>
      <c r="I9" s="189"/>
      <c r="J9" s="189">
        <f>[3]КАРД!$W$124</f>
        <v>0</v>
      </c>
      <c r="K9" s="191"/>
      <c r="L9" s="189"/>
      <c r="M9" s="189">
        <f>[3]КАРД!$S$124</f>
        <v>338</v>
      </c>
      <c r="N9" s="191"/>
      <c r="O9" s="189"/>
      <c r="P9" s="189">
        <f>[3]КАРД!$AA$124</f>
        <v>51</v>
      </c>
      <c r="Q9" s="191"/>
      <c r="R9" s="189">
        <f t="shared" si="1"/>
        <v>0</v>
      </c>
      <c r="S9" s="189">
        <f>[3]КАРД!$G$124</f>
        <v>0</v>
      </c>
      <c r="T9" s="191"/>
      <c r="U9" s="189">
        <f t="shared" si="2"/>
        <v>0</v>
      </c>
      <c r="V9" s="189">
        <f>[3]КАРД!$K$124</f>
        <v>0</v>
      </c>
      <c r="W9" s="191"/>
      <c r="AA9" s="291"/>
      <c r="AB9" s="127"/>
      <c r="AG9" s="286"/>
      <c r="AH9" s="127"/>
      <c r="AJ9" s="288"/>
      <c r="AM9" s="289"/>
    </row>
    <row r="10" spans="1:44" ht="15" x14ac:dyDescent="0.2">
      <c r="A10" s="66">
        <v>4</v>
      </c>
      <c r="B10" s="205" t="s">
        <v>221</v>
      </c>
      <c r="C10" s="189"/>
      <c r="D10" s="189">
        <f>[3]КОЖВЕН!$C$124</f>
        <v>54</v>
      </c>
      <c r="E10" s="190"/>
      <c r="F10" s="189"/>
      <c r="G10" s="189">
        <f>[3]КОЖВЕН!$O$124</f>
        <v>34</v>
      </c>
      <c r="H10" s="191"/>
      <c r="I10" s="189"/>
      <c r="J10" s="189">
        <f>[3]КОЖВЕН!$W$124</f>
        <v>0</v>
      </c>
      <c r="K10" s="191"/>
      <c r="L10" s="189"/>
      <c r="M10" s="189">
        <f>[3]КОЖВЕН!$S$124</f>
        <v>188</v>
      </c>
      <c r="N10" s="191"/>
      <c r="O10" s="189"/>
      <c r="P10" s="189">
        <f>[3]КОЖВЕН!$AA$124</f>
        <v>136</v>
      </c>
      <c r="Q10" s="191"/>
      <c r="R10" s="189">
        <f t="shared" si="1"/>
        <v>0</v>
      </c>
      <c r="S10" s="189">
        <f>[3]КОЖВЕН!$G$124</f>
        <v>0</v>
      </c>
      <c r="T10" s="191"/>
      <c r="U10" s="189">
        <f t="shared" si="2"/>
        <v>0</v>
      </c>
      <c r="V10" s="189">
        <f>[3]КОЖВЕН!$K$124</f>
        <v>0</v>
      </c>
      <c r="W10" s="191"/>
      <c r="AA10" s="291"/>
      <c r="AB10" s="127"/>
      <c r="AG10" s="286">
        <v>57007</v>
      </c>
      <c r="AH10" s="127"/>
      <c r="AJ10" s="288"/>
      <c r="AM10" s="289"/>
    </row>
    <row r="11" spans="1:44" ht="15" x14ac:dyDescent="0.2">
      <c r="A11" s="66">
        <v>5</v>
      </c>
      <c r="B11" s="141" t="s">
        <v>220</v>
      </c>
      <c r="C11" s="189"/>
      <c r="D11" s="189">
        <f>[3]ОНКО!$C$124</f>
        <v>361</v>
      </c>
      <c r="E11" s="190"/>
      <c r="F11" s="189"/>
      <c r="G11" s="189">
        <f>[3]ОНКО!$O$124</f>
        <v>297</v>
      </c>
      <c r="H11" s="191"/>
      <c r="I11" s="189"/>
      <c r="J11" s="189">
        <f>[3]ОНКО!$W$124</f>
        <v>0</v>
      </c>
      <c r="K11" s="191"/>
      <c r="L11" s="189"/>
      <c r="M11" s="189">
        <f>[3]ОНКО!$S$124</f>
        <v>468</v>
      </c>
      <c r="N11" s="191"/>
      <c r="O11" s="189"/>
      <c r="P11" s="189">
        <f>[3]ОНКО!$AA$124</f>
        <v>0</v>
      </c>
      <c r="Q11" s="191"/>
      <c r="R11" s="189">
        <f t="shared" si="1"/>
        <v>0</v>
      </c>
      <c r="S11" s="189">
        <f>[3]ОНКО!$G$124</f>
        <v>0</v>
      </c>
      <c r="T11" s="191"/>
      <c r="U11" s="189">
        <f t="shared" si="2"/>
        <v>0</v>
      </c>
      <c r="V11" s="189">
        <f>[3]ОНКО!$K$124</f>
        <v>0</v>
      </c>
      <c r="W11" s="191"/>
      <c r="AA11" s="291"/>
      <c r="AB11" s="127"/>
      <c r="AG11" s="286"/>
      <c r="AH11" s="127"/>
      <c r="AJ11" s="288"/>
      <c r="AM11" s="289"/>
    </row>
    <row r="12" spans="1:44" ht="15" x14ac:dyDescent="0.2">
      <c r="A12" s="66">
        <v>6</v>
      </c>
      <c r="B12" s="141" t="s">
        <v>201</v>
      </c>
      <c r="C12" s="189"/>
      <c r="D12" s="189">
        <f>[2]цвд!$C$124</f>
        <v>0</v>
      </c>
      <c r="E12" s="190"/>
      <c r="F12" s="189"/>
      <c r="G12" s="189">
        <f>[2]цвд!$O$124</f>
        <v>235</v>
      </c>
      <c r="H12" s="191"/>
      <c r="I12" s="189"/>
      <c r="J12" s="189">
        <f>[2]цвд!$W$124</f>
        <v>0</v>
      </c>
      <c r="K12" s="191"/>
      <c r="L12" s="189"/>
      <c r="M12" s="189">
        <f>[2]цвд!$S$124</f>
        <v>32</v>
      </c>
      <c r="N12" s="191"/>
      <c r="O12" s="189"/>
      <c r="P12" s="189">
        <f>[2]цвд!$AA$124</f>
        <v>0</v>
      </c>
      <c r="Q12" s="191"/>
      <c r="R12" s="189">
        <f t="shared" si="1"/>
        <v>0</v>
      </c>
      <c r="S12" s="189">
        <f>[2]цвд!$G$124</f>
        <v>0</v>
      </c>
      <c r="T12" s="191"/>
      <c r="U12" s="189">
        <f t="shared" si="2"/>
        <v>0</v>
      </c>
      <c r="V12" s="189">
        <f>[2]цвд!$K$124</f>
        <v>0</v>
      </c>
      <c r="W12" s="191"/>
      <c r="AA12" s="291"/>
      <c r="AB12" s="127"/>
      <c r="AG12" s="286"/>
      <c r="AH12" s="127"/>
      <c r="AJ12" s="288"/>
      <c r="AM12" s="289"/>
    </row>
    <row r="13" spans="1:44" ht="15" x14ac:dyDescent="0.2">
      <c r="A13" s="66">
        <v>8</v>
      </c>
      <c r="B13" s="141" t="s">
        <v>219</v>
      </c>
      <c r="C13" s="189"/>
      <c r="D13" s="189">
        <f>[2]обл.ст!$C$124</f>
        <v>0</v>
      </c>
      <c r="E13" s="190"/>
      <c r="F13" s="189"/>
      <c r="G13" s="189">
        <f>[2]обл.ст!$O$124</f>
        <v>0</v>
      </c>
      <c r="H13" s="191"/>
      <c r="I13" s="189"/>
      <c r="J13" s="189">
        <f>[2]обл.ст!$W$124</f>
        <v>0</v>
      </c>
      <c r="K13" s="191"/>
      <c r="L13" s="189"/>
      <c r="M13" s="189">
        <f>[2]обл.ст!$S$124</f>
        <v>3554.491</v>
      </c>
      <c r="N13" s="191"/>
      <c r="O13" s="189"/>
      <c r="P13" s="189">
        <f>[2]обл.ст!$AA$124</f>
        <v>733</v>
      </c>
      <c r="Q13" s="191"/>
      <c r="R13" s="189">
        <f t="shared" si="1"/>
        <v>0</v>
      </c>
      <c r="S13" s="189">
        <f>[2]обл.ст!$G$124</f>
        <v>0</v>
      </c>
      <c r="T13" s="191"/>
      <c r="U13" s="189">
        <f t="shared" si="2"/>
        <v>0</v>
      </c>
      <c r="V13" s="189">
        <f>[2]обл.ст!$K$124</f>
        <v>0</v>
      </c>
      <c r="W13" s="191"/>
      <c r="AA13" s="291"/>
      <c r="AB13" s="127"/>
      <c r="AG13" s="286">
        <v>203077</v>
      </c>
      <c r="AH13" s="127"/>
      <c r="AJ13" s="288"/>
      <c r="AM13" s="289"/>
    </row>
    <row r="14" spans="1:44" ht="15.75" x14ac:dyDescent="0.25">
      <c r="A14" s="274">
        <v>9</v>
      </c>
      <c r="B14" s="67" t="s">
        <v>211</v>
      </c>
      <c r="C14" s="189"/>
      <c r="D14" s="189">
        <f>[4]детск!$C$124</f>
        <v>709</v>
      </c>
      <c r="E14" s="249"/>
      <c r="F14" s="189"/>
      <c r="G14" s="189">
        <f>[4]детск!$O$124</f>
        <v>0</v>
      </c>
      <c r="H14" s="191"/>
      <c r="I14" s="189"/>
      <c r="J14" s="189">
        <f>[4]детск!$W$124</f>
        <v>3</v>
      </c>
      <c r="K14" s="191"/>
      <c r="L14" s="189"/>
      <c r="M14" s="189">
        <f>[4]детск!$S$124</f>
        <v>419</v>
      </c>
      <c r="N14" s="191"/>
      <c r="O14" s="189"/>
      <c r="P14" s="189">
        <f>[4]детск!$AA$124</f>
        <v>54</v>
      </c>
      <c r="Q14" s="191"/>
      <c r="R14" s="189"/>
      <c r="S14" s="189">
        <f>[4]детск!$G$124</f>
        <v>0</v>
      </c>
      <c r="T14" s="191"/>
      <c r="U14" s="189">
        <f>AA14/12*4</f>
        <v>0</v>
      </c>
      <c r="V14" s="189">
        <f>[4]Гал!$K$124</f>
        <v>0</v>
      </c>
      <c r="W14" s="191"/>
      <c r="X14">
        <v>71000</v>
      </c>
      <c r="AA14" s="291"/>
      <c r="AB14" s="127"/>
      <c r="AD14">
        <v>9297</v>
      </c>
      <c r="AG14" s="286">
        <v>57745</v>
      </c>
      <c r="AH14" s="127"/>
      <c r="AJ14" s="288">
        <v>26589</v>
      </c>
      <c r="AM14" s="289"/>
    </row>
    <row r="15" spans="1:44" ht="15.75" x14ac:dyDescent="0.25">
      <c r="A15" s="274">
        <v>10</v>
      </c>
      <c r="B15" s="67" t="s">
        <v>202</v>
      </c>
      <c r="C15" s="189"/>
      <c r="D15" s="189">
        <f>[3]цпс!$C$124</f>
        <v>0</v>
      </c>
      <c r="E15" s="249"/>
      <c r="F15" s="189"/>
      <c r="G15" s="189">
        <f>[3]цпс!$O$124</f>
        <v>0</v>
      </c>
      <c r="H15" s="191"/>
      <c r="I15" s="189"/>
      <c r="J15" s="189">
        <f>[3]цпс!$W$124</f>
        <v>0</v>
      </c>
      <c r="K15" s="191"/>
      <c r="L15" s="189"/>
      <c r="M15" s="189">
        <f>[3]цпс!$S$124</f>
        <v>0</v>
      </c>
      <c r="N15" s="191"/>
      <c r="O15" s="189"/>
      <c r="P15" s="189">
        <f>[3]цпс!$AA$124</f>
        <v>0</v>
      </c>
      <c r="Q15" s="191"/>
      <c r="R15" s="189">
        <f>X15/12*4</f>
        <v>0</v>
      </c>
      <c r="S15" s="189">
        <f>[3]цпс!$G$124</f>
        <v>0</v>
      </c>
      <c r="T15" s="191"/>
      <c r="U15" s="189">
        <f>AA15/12*4</f>
        <v>0</v>
      </c>
      <c r="V15" s="189">
        <f>[4]Гал!$K$124</f>
        <v>0</v>
      </c>
      <c r="W15" s="191"/>
      <c r="AA15" s="291"/>
      <c r="AB15" s="127"/>
      <c r="AG15" s="286">
        <v>1635</v>
      </c>
      <c r="AH15" s="127"/>
      <c r="AJ15" s="288"/>
      <c r="AM15" s="289"/>
    </row>
    <row r="16" spans="1:44" ht="15.75" x14ac:dyDescent="0.25">
      <c r="A16" s="395" t="s">
        <v>271</v>
      </c>
      <c r="B16" s="396"/>
      <c r="C16" s="192">
        <f>SUM(C17:C25)</f>
        <v>0</v>
      </c>
      <c r="D16" s="192">
        <f>SUM(D17:D25)</f>
        <v>1910</v>
      </c>
      <c r="E16" s="187"/>
      <c r="F16" s="192">
        <f>SUM(F17:F25)</f>
        <v>0</v>
      </c>
      <c r="G16" s="192">
        <f>SUM(G17:G25)</f>
        <v>509</v>
      </c>
      <c r="H16" s="193"/>
      <c r="I16" s="192">
        <f>SUM(I17:I25)</f>
        <v>0</v>
      </c>
      <c r="J16" s="192">
        <f>SUM(J17:J25)</f>
        <v>360</v>
      </c>
      <c r="K16" s="193"/>
      <c r="L16" s="192">
        <f>SUM(L17:L25)</f>
        <v>0</v>
      </c>
      <c r="M16" s="192">
        <f>SUM(M17:M25)</f>
        <v>6251.8599999999988</v>
      </c>
      <c r="N16" s="193"/>
      <c r="O16" s="192">
        <f>SUM(O17:O25)</f>
        <v>0</v>
      </c>
      <c r="P16" s="192">
        <f>SUM(P17:P25)</f>
        <v>1992</v>
      </c>
      <c r="Q16" s="193"/>
      <c r="R16" s="192">
        <f>SUM(R17:R25)</f>
        <v>0</v>
      </c>
      <c r="S16" s="192">
        <f>SUM(S17:S25)</f>
        <v>376</v>
      </c>
      <c r="T16" s="193"/>
      <c r="U16" s="192">
        <f>SUM(U17:U25)</f>
        <v>0</v>
      </c>
      <c r="V16" s="192">
        <f>SUM(V17:V25)</f>
        <v>0</v>
      </c>
      <c r="W16" s="193"/>
      <c r="X16" s="192">
        <f t="shared" ref="X16:AR16" si="3">SUM(X17:X25)</f>
        <v>6687</v>
      </c>
      <c r="Y16" s="192">
        <f t="shared" si="3"/>
        <v>0</v>
      </c>
      <c r="Z16" s="192">
        <f t="shared" si="3"/>
        <v>0</v>
      </c>
      <c r="AA16" s="192">
        <f t="shared" si="3"/>
        <v>2600</v>
      </c>
      <c r="AB16" s="192">
        <f t="shared" si="3"/>
        <v>0</v>
      </c>
      <c r="AC16" s="192">
        <f t="shared" si="3"/>
        <v>0</v>
      </c>
      <c r="AD16" s="192">
        <f t="shared" si="3"/>
        <v>19682</v>
      </c>
      <c r="AE16" s="192">
        <f t="shared" si="3"/>
        <v>0</v>
      </c>
      <c r="AF16" s="192">
        <f t="shared" si="3"/>
        <v>0</v>
      </c>
      <c r="AG16" s="192">
        <f t="shared" si="3"/>
        <v>129451</v>
      </c>
      <c r="AH16" s="192">
        <f t="shared" si="3"/>
        <v>0</v>
      </c>
      <c r="AI16" s="192">
        <f t="shared" si="3"/>
        <v>0</v>
      </c>
      <c r="AJ16" s="192">
        <f t="shared" si="3"/>
        <v>10328</v>
      </c>
      <c r="AK16" s="192">
        <f t="shared" si="3"/>
        <v>0</v>
      </c>
      <c r="AL16" s="192">
        <f t="shared" si="3"/>
        <v>0</v>
      </c>
      <c r="AM16" s="192">
        <f t="shared" si="3"/>
        <v>29796</v>
      </c>
      <c r="AN16" s="192">
        <f t="shared" si="3"/>
        <v>0</v>
      </c>
      <c r="AO16" s="192">
        <f t="shared" si="3"/>
        <v>0</v>
      </c>
      <c r="AP16" s="192">
        <f t="shared" si="3"/>
        <v>0</v>
      </c>
      <c r="AQ16" s="192">
        <f t="shared" si="3"/>
        <v>0</v>
      </c>
      <c r="AR16" s="192">
        <f t="shared" si="3"/>
        <v>0</v>
      </c>
    </row>
    <row r="17" spans="1:44" ht="15.75" x14ac:dyDescent="0.25">
      <c r="A17" s="140">
        <v>11</v>
      </c>
      <c r="B17" s="63" t="s">
        <v>225</v>
      </c>
      <c r="C17" s="189"/>
      <c r="D17" s="189">
        <f>[2]ант!$C$124</f>
        <v>29</v>
      </c>
      <c r="E17" s="249"/>
      <c r="F17" s="189"/>
      <c r="G17" s="189">
        <f>[2]ант!$O$124</f>
        <v>0</v>
      </c>
      <c r="H17" s="191"/>
      <c r="I17" s="189"/>
      <c r="J17" s="189">
        <f>[2]ант!$W$124</f>
        <v>19</v>
      </c>
      <c r="K17" s="191"/>
      <c r="L17" s="189"/>
      <c r="M17" s="189">
        <f>[2]ант!$S$124</f>
        <v>211.91999999999996</v>
      </c>
      <c r="N17" s="191"/>
      <c r="O17" s="189"/>
      <c r="P17" s="189">
        <f>[2]ант!$AA$124</f>
        <v>72</v>
      </c>
      <c r="Q17" s="191"/>
      <c r="R17" s="189"/>
      <c r="S17" s="189">
        <f>[2]ант!$G$124</f>
        <v>40</v>
      </c>
      <c r="T17" s="191"/>
      <c r="U17" s="189">
        <f t="shared" ref="U17:U55" si="4">AA17/12*4</f>
        <v>0</v>
      </c>
      <c r="V17" s="189">
        <f>[2]ант!$K$124</f>
        <v>0</v>
      </c>
      <c r="W17" s="191"/>
      <c r="X17">
        <v>3807</v>
      </c>
      <c r="AA17" s="291"/>
      <c r="AB17" s="127"/>
      <c r="AG17" s="286"/>
      <c r="AH17" s="127"/>
      <c r="AJ17" s="288"/>
      <c r="AM17" s="289"/>
      <c r="AP17" s="290"/>
    </row>
    <row r="18" spans="1:44" ht="15.75" x14ac:dyDescent="0.25">
      <c r="A18" s="66">
        <v>12</v>
      </c>
      <c r="B18" s="67" t="s">
        <v>226</v>
      </c>
      <c r="C18" s="189"/>
      <c r="D18" s="189">
        <f>[2]буй!$C$124</f>
        <v>826</v>
      </c>
      <c r="E18" s="249"/>
      <c r="F18" s="189"/>
      <c r="G18" s="189">
        <f>[2]буй!$O$124</f>
        <v>150</v>
      </c>
      <c r="H18" s="191"/>
      <c r="I18" s="189"/>
      <c r="J18" s="256">
        <f>[2]буй!$W$124</f>
        <v>101</v>
      </c>
      <c r="K18" s="191"/>
      <c r="L18" s="189"/>
      <c r="M18" s="189">
        <f>[2]буй!$S$124</f>
        <v>1403.9999999999998</v>
      </c>
      <c r="N18" s="191"/>
      <c r="O18" s="189"/>
      <c r="P18" s="189">
        <f>[2]буй!$AA$124</f>
        <v>388</v>
      </c>
      <c r="Q18" s="191"/>
      <c r="R18" s="189">
        <f t="shared" ref="R18:R24" si="5">X18/12*4</f>
        <v>0</v>
      </c>
      <c r="S18" s="189">
        <f>[2]буй!$G$124</f>
        <v>112</v>
      </c>
      <c r="T18" s="191"/>
      <c r="U18" s="189">
        <f t="shared" si="4"/>
        <v>0</v>
      </c>
      <c r="V18" s="189">
        <f>[2]буй!$K$124</f>
        <v>0</v>
      </c>
      <c r="W18" s="191"/>
      <c r="AA18" s="291"/>
      <c r="AB18" s="127"/>
      <c r="AD18">
        <v>2000</v>
      </c>
      <c r="AG18" s="286"/>
      <c r="AH18" s="127"/>
      <c r="AJ18" s="288"/>
      <c r="AM18" s="289">
        <v>11400</v>
      </c>
      <c r="AP18" s="290"/>
    </row>
    <row r="19" spans="1:44" ht="15.75" x14ac:dyDescent="0.25">
      <c r="A19" s="66">
        <v>13</v>
      </c>
      <c r="B19" s="67" t="s">
        <v>227</v>
      </c>
      <c r="C19" s="189"/>
      <c r="D19" s="189">
        <f>[2]гавр!$C$124</f>
        <v>0</v>
      </c>
      <c r="E19" s="249"/>
      <c r="F19" s="189"/>
      <c r="G19" s="189">
        <f>[2]гавр!$O$124</f>
        <v>103</v>
      </c>
      <c r="H19" s="191"/>
      <c r="I19" s="189"/>
      <c r="J19" s="189">
        <f>[2]гавр!$W$124</f>
        <v>5</v>
      </c>
      <c r="K19" s="191"/>
      <c r="L19" s="189"/>
      <c r="M19" s="189">
        <f>[2]гавр!$S$124</f>
        <v>948.10999999999979</v>
      </c>
      <c r="N19" s="191"/>
      <c r="O19" s="189"/>
      <c r="P19" s="189">
        <f>[2]гавр!$AA$124</f>
        <v>150</v>
      </c>
      <c r="Q19" s="191"/>
      <c r="R19" s="189">
        <f t="shared" si="5"/>
        <v>0</v>
      </c>
      <c r="S19" s="189">
        <f>[2]гавр!$G$124</f>
        <v>0</v>
      </c>
      <c r="T19" s="191"/>
      <c r="U19" s="189">
        <f t="shared" si="4"/>
        <v>0</v>
      </c>
      <c r="V19" s="189">
        <f>[2]гавр!$K$124</f>
        <v>0</v>
      </c>
      <c r="W19" s="191"/>
      <c r="AA19" s="291"/>
      <c r="AB19" s="127"/>
      <c r="AD19">
        <v>500</v>
      </c>
      <c r="AG19" s="286">
        <v>30506</v>
      </c>
      <c r="AH19" s="127"/>
      <c r="AJ19" s="288"/>
      <c r="AM19" s="289"/>
      <c r="AP19" s="290"/>
    </row>
    <row r="20" spans="1:44" ht="15.75" x14ac:dyDescent="0.25">
      <c r="A20" s="66">
        <v>14</v>
      </c>
      <c r="B20" s="67" t="s">
        <v>203</v>
      </c>
      <c r="C20" s="189"/>
      <c r="D20" s="189">
        <f>[4]Гал!$C$124</f>
        <v>762</v>
      </c>
      <c r="E20" s="249"/>
      <c r="F20" s="189"/>
      <c r="G20" s="189">
        <f>[4]Гал!$O$124</f>
        <v>32</v>
      </c>
      <c r="H20" s="191"/>
      <c r="I20" s="189"/>
      <c r="J20" s="189">
        <f>[4]Гал!$W$124</f>
        <v>134</v>
      </c>
      <c r="K20" s="191"/>
      <c r="L20" s="189"/>
      <c r="M20" s="189">
        <f>[4]Гал!$S$124</f>
        <v>2000.87</v>
      </c>
      <c r="N20" s="191"/>
      <c r="O20" s="189"/>
      <c r="P20" s="189">
        <f>[4]Гал!$AA124</f>
        <v>615</v>
      </c>
      <c r="Q20" s="191"/>
      <c r="R20" s="189">
        <f t="shared" si="5"/>
        <v>0</v>
      </c>
      <c r="S20" s="189">
        <f>[4]Гал!$G$124</f>
        <v>115</v>
      </c>
      <c r="T20" s="191"/>
      <c r="U20" s="189">
        <f t="shared" si="4"/>
        <v>0</v>
      </c>
      <c r="V20" s="189">
        <f>[4]Гал!$K$124</f>
        <v>0</v>
      </c>
      <c r="W20" s="191"/>
      <c r="AA20" s="291"/>
      <c r="AB20" s="127"/>
      <c r="AD20">
        <v>10037</v>
      </c>
      <c r="AG20" s="286">
        <v>80117</v>
      </c>
      <c r="AH20" s="127"/>
      <c r="AJ20" s="288"/>
      <c r="AM20" s="289">
        <v>7624</v>
      </c>
      <c r="AP20" s="290"/>
    </row>
    <row r="21" spans="1:44" ht="15.75" x14ac:dyDescent="0.25">
      <c r="A21" s="66">
        <v>15</v>
      </c>
      <c r="B21" s="67" t="s">
        <v>204</v>
      </c>
      <c r="C21" s="189"/>
      <c r="D21" s="189">
        <f>[4]орех!$C$124</f>
        <v>17</v>
      </c>
      <c r="E21" s="249"/>
      <c r="F21" s="189"/>
      <c r="G21" s="189">
        <f>[4]орех!$O$124</f>
        <v>149</v>
      </c>
      <c r="H21" s="191"/>
      <c r="I21" s="189"/>
      <c r="J21" s="189">
        <f>[4]орех!$W$124</f>
        <v>4</v>
      </c>
      <c r="K21" s="191"/>
      <c r="L21" s="189"/>
      <c r="M21" s="189">
        <f>[4]орех!$S$124</f>
        <v>319.47000000000003</v>
      </c>
      <c r="N21" s="191"/>
      <c r="O21" s="189"/>
      <c r="P21" s="189">
        <f>[4]орех!$AA124</f>
        <v>221</v>
      </c>
      <c r="Q21" s="191"/>
      <c r="R21" s="189">
        <f t="shared" si="5"/>
        <v>0</v>
      </c>
      <c r="S21" s="189">
        <f>[4]орех!$G$124</f>
        <v>0</v>
      </c>
      <c r="T21" s="191"/>
      <c r="U21" s="189">
        <f>AA21/12*4</f>
        <v>0</v>
      </c>
      <c r="V21" s="189"/>
      <c r="W21" s="191"/>
      <c r="AA21" s="291"/>
      <c r="AB21" s="127"/>
      <c r="AD21">
        <v>500</v>
      </c>
      <c r="AG21" s="286"/>
      <c r="AH21" s="127"/>
      <c r="AJ21" s="288"/>
      <c r="AM21" s="289"/>
      <c r="AP21" s="290"/>
    </row>
    <row r="22" spans="1:44" ht="15.75" x14ac:dyDescent="0.25">
      <c r="A22" s="66">
        <v>16</v>
      </c>
      <c r="B22" s="67" t="s">
        <v>228</v>
      </c>
      <c r="C22" s="189"/>
      <c r="D22" s="189">
        <f>[2]пар!$C$124</f>
        <v>137</v>
      </c>
      <c r="E22" s="249"/>
      <c r="F22" s="189"/>
      <c r="G22" s="189">
        <f>[2]пар!$O$124</f>
        <v>62</v>
      </c>
      <c r="H22" s="191"/>
      <c r="I22" s="189"/>
      <c r="J22" s="189">
        <f>[2]пар!$W$124</f>
        <v>61</v>
      </c>
      <c r="K22" s="191"/>
      <c r="L22" s="189"/>
      <c r="M22" s="189">
        <f>[2]пар!$S$124</f>
        <v>679.4899999999999</v>
      </c>
      <c r="N22" s="191"/>
      <c r="O22" s="189"/>
      <c r="P22" s="189">
        <f>[2]пар!$AA$124</f>
        <v>382</v>
      </c>
      <c r="Q22" s="191"/>
      <c r="R22" s="189">
        <f t="shared" si="5"/>
        <v>0</v>
      </c>
      <c r="S22" s="189">
        <f>[2]пар!$G$124</f>
        <v>52</v>
      </c>
      <c r="T22" s="191"/>
      <c r="U22" s="189">
        <f t="shared" si="4"/>
        <v>0</v>
      </c>
      <c r="V22" s="189"/>
      <c r="W22" s="191"/>
      <c r="AA22" s="291"/>
      <c r="AB22" s="127"/>
      <c r="AD22">
        <v>1545</v>
      </c>
      <c r="AG22" s="286"/>
      <c r="AH22" s="127"/>
      <c r="AJ22" s="288"/>
      <c r="AM22" s="289">
        <v>1971</v>
      </c>
      <c r="AP22" s="290"/>
    </row>
    <row r="23" spans="1:44" ht="15.75" x14ac:dyDescent="0.25">
      <c r="A23" s="66">
        <v>17</v>
      </c>
      <c r="B23" s="67" t="s">
        <v>229</v>
      </c>
      <c r="C23" s="189"/>
      <c r="D23" s="189">
        <f>[3]СОЛИГ!$C$124</f>
        <v>36</v>
      </c>
      <c r="E23" s="249"/>
      <c r="F23" s="189"/>
      <c r="G23" s="189">
        <f>[3]СОЛИГ!$O$124</f>
        <v>0</v>
      </c>
      <c r="H23" s="191"/>
      <c r="I23" s="189"/>
      <c r="J23" s="189">
        <f>[3]СОЛИГ!$W$124</f>
        <v>36</v>
      </c>
      <c r="K23" s="191"/>
      <c r="L23" s="189"/>
      <c r="M23" s="189">
        <f>[3]СОЛИГ!$S$124</f>
        <v>584.19000000000005</v>
      </c>
      <c r="N23" s="191"/>
      <c r="O23" s="189"/>
      <c r="P23" s="189">
        <f>[3]СОЛИГ!$AA$124</f>
        <v>148</v>
      </c>
      <c r="Q23" s="191"/>
      <c r="R23" s="189">
        <f t="shared" si="5"/>
        <v>0</v>
      </c>
      <c r="S23" s="189">
        <f>[3]СОЛИГ!$G$124</f>
        <v>51</v>
      </c>
      <c r="T23" s="191"/>
      <c r="U23" s="189">
        <f t="shared" si="4"/>
        <v>0</v>
      </c>
      <c r="V23" s="189"/>
      <c r="W23" s="191"/>
      <c r="AA23" s="291"/>
      <c r="AB23" s="127"/>
      <c r="AD23">
        <v>2100</v>
      </c>
      <c r="AG23" s="286"/>
      <c r="AH23" s="127"/>
      <c r="AJ23" s="288"/>
      <c r="AM23" s="289">
        <v>2994</v>
      </c>
      <c r="AP23" s="290"/>
    </row>
    <row r="24" spans="1:44" ht="15.75" x14ac:dyDescent="0.25">
      <c r="A24" s="66">
        <v>18</v>
      </c>
      <c r="B24" s="67" t="s">
        <v>230</v>
      </c>
      <c r="C24" s="189"/>
      <c r="D24" s="189">
        <f>[4]чухлом!$C$124</f>
        <v>85</v>
      </c>
      <c r="E24" s="249"/>
      <c r="F24" s="189"/>
      <c r="G24" s="189">
        <f>[4]чухлом!$O$124</f>
        <v>-10</v>
      </c>
      <c r="H24" s="191"/>
      <c r="I24" s="189"/>
      <c r="J24" s="189">
        <f>[4]чухлом!$W$124</f>
        <v>0</v>
      </c>
      <c r="K24" s="191"/>
      <c r="L24" s="189"/>
      <c r="M24" s="189">
        <f>[4]чухлом!$S$124</f>
        <v>42.650000000000006</v>
      </c>
      <c r="N24" s="191"/>
      <c r="O24" s="189"/>
      <c r="P24" s="189">
        <f>[4]чухлом!$AA$124</f>
        <v>10</v>
      </c>
      <c r="Q24" s="191"/>
      <c r="R24" s="189">
        <f t="shared" si="5"/>
        <v>0</v>
      </c>
      <c r="S24" s="189">
        <f>[4]чухлом!$G$124</f>
        <v>3</v>
      </c>
      <c r="T24" s="191"/>
      <c r="U24" s="189">
        <f>AA24/12*4</f>
        <v>0</v>
      </c>
      <c r="V24" s="189"/>
      <c r="W24" s="191"/>
      <c r="AA24" s="291"/>
      <c r="AB24" s="127"/>
      <c r="AD24">
        <v>1000</v>
      </c>
      <c r="AG24" s="286"/>
      <c r="AH24" s="127"/>
      <c r="AJ24" s="288"/>
      <c r="AM24" s="289">
        <v>3477</v>
      </c>
      <c r="AP24" s="290"/>
    </row>
    <row r="25" spans="1:44" ht="15.75" x14ac:dyDescent="0.25">
      <c r="A25" s="274"/>
      <c r="B25" s="278" t="s">
        <v>247</v>
      </c>
      <c r="C25" s="189"/>
      <c r="D25" s="189">
        <f>[2]сус!$C$124</f>
        <v>18</v>
      </c>
      <c r="E25" s="249"/>
      <c r="F25" s="189"/>
      <c r="G25" s="189">
        <f>[2]сус!$O$124</f>
        <v>23</v>
      </c>
      <c r="H25" s="191"/>
      <c r="I25" s="189"/>
      <c r="J25" s="189">
        <f>[2]сус!$W$124</f>
        <v>0</v>
      </c>
      <c r="K25" s="191"/>
      <c r="L25" s="189"/>
      <c r="M25" s="189">
        <f>[2]сус!$S$124</f>
        <v>61.16</v>
      </c>
      <c r="N25" s="191"/>
      <c r="O25" s="189"/>
      <c r="P25" s="189">
        <f>[2]сус!$AA$124</f>
        <v>6</v>
      </c>
      <c r="Q25" s="191"/>
      <c r="R25" s="189"/>
      <c r="S25" s="189">
        <f>[2]сус!$G$124</f>
        <v>3</v>
      </c>
      <c r="T25" s="191"/>
      <c r="U25" s="189"/>
      <c r="V25" s="189">
        <f>[4]Гал!$K$124</f>
        <v>0</v>
      </c>
      <c r="W25" s="191"/>
      <c r="X25">
        <v>2880</v>
      </c>
      <c r="AA25" s="291">
        <v>2600</v>
      </c>
      <c r="AB25" s="127"/>
      <c r="AD25">
        <v>2000</v>
      </c>
      <c r="AG25" s="286">
        <v>18828</v>
      </c>
      <c r="AH25" s="127"/>
      <c r="AJ25" s="288">
        <v>10328</v>
      </c>
      <c r="AM25" s="289">
        <v>2330</v>
      </c>
      <c r="AP25" s="290"/>
    </row>
    <row r="26" spans="1:44" ht="15.75" x14ac:dyDescent="0.25">
      <c r="A26" s="391" t="s">
        <v>272</v>
      </c>
      <c r="B26" s="392"/>
      <c r="C26" s="192">
        <f>SUM(C27:C33)</f>
        <v>0</v>
      </c>
      <c r="D26" s="192">
        <f>SUM(D27:D33)</f>
        <v>1103</v>
      </c>
      <c r="E26" s="187"/>
      <c r="F26" s="192">
        <f>SUM(F27:F33)</f>
        <v>0</v>
      </c>
      <c r="G26" s="192">
        <f>SUM(G27:G33)</f>
        <v>272</v>
      </c>
      <c r="H26" s="276"/>
      <c r="I26" s="192">
        <f>SUM(I27:I33)</f>
        <v>0</v>
      </c>
      <c r="J26" s="192">
        <f>SUM(J27:J33)</f>
        <v>58</v>
      </c>
      <c r="K26" s="276"/>
      <c r="L26" s="192">
        <f>SUM(L27:L33)</f>
        <v>0</v>
      </c>
      <c r="M26" s="192">
        <f>SUM(M27:M33)</f>
        <v>2214.7600000000002</v>
      </c>
      <c r="N26" s="276"/>
      <c r="O26" s="192">
        <f>SUM(O27:O33)</f>
        <v>0</v>
      </c>
      <c r="P26" s="192">
        <f>SUM(P27:P33)</f>
        <v>981</v>
      </c>
      <c r="Q26" s="276"/>
      <c r="R26" s="192">
        <f>SUM(R27:R33)</f>
        <v>0</v>
      </c>
      <c r="S26" s="192">
        <f>SUM(S27:S33)</f>
        <v>220</v>
      </c>
      <c r="T26" s="276"/>
      <c r="U26" s="192">
        <f>SUM(U27:U33)</f>
        <v>0</v>
      </c>
      <c r="V26" s="192">
        <f>SUM(V27:V33)</f>
        <v>0</v>
      </c>
      <c r="W26" s="276"/>
      <c r="X26" s="192">
        <f t="shared" ref="X26:AR26" si="6">SUM(X27:X33)</f>
        <v>0</v>
      </c>
      <c r="Y26" s="192">
        <f t="shared" si="6"/>
        <v>0</v>
      </c>
      <c r="Z26" s="192">
        <f t="shared" si="6"/>
        <v>0</v>
      </c>
      <c r="AA26" s="192">
        <f t="shared" si="6"/>
        <v>0</v>
      </c>
      <c r="AB26" s="192">
        <f t="shared" si="6"/>
        <v>0</v>
      </c>
      <c r="AC26" s="192">
        <f t="shared" si="6"/>
        <v>0</v>
      </c>
      <c r="AD26" s="192">
        <f t="shared" si="6"/>
        <v>7934</v>
      </c>
      <c r="AE26" s="192">
        <f t="shared" si="6"/>
        <v>0</v>
      </c>
      <c r="AF26" s="192">
        <f t="shared" si="6"/>
        <v>0</v>
      </c>
      <c r="AG26" s="192">
        <f t="shared" si="6"/>
        <v>0</v>
      </c>
      <c r="AH26" s="192">
        <f t="shared" si="6"/>
        <v>0</v>
      </c>
      <c r="AI26" s="192">
        <f t="shared" si="6"/>
        <v>0</v>
      </c>
      <c r="AJ26" s="192">
        <f t="shared" si="6"/>
        <v>0</v>
      </c>
      <c r="AK26" s="192">
        <f t="shared" si="6"/>
        <v>0</v>
      </c>
      <c r="AL26" s="192">
        <f t="shared" si="6"/>
        <v>0</v>
      </c>
      <c r="AM26" s="192">
        <f t="shared" si="6"/>
        <v>21399</v>
      </c>
      <c r="AN26" s="192">
        <f t="shared" si="6"/>
        <v>0</v>
      </c>
      <c r="AO26" s="192">
        <f t="shared" si="6"/>
        <v>0</v>
      </c>
      <c r="AP26" s="192">
        <f t="shared" si="6"/>
        <v>0</v>
      </c>
      <c r="AQ26" s="192">
        <f t="shared" si="6"/>
        <v>0</v>
      </c>
      <c r="AR26" s="192">
        <f t="shared" si="6"/>
        <v>0</v>
      </c>
    </row>
    <row r="27" spans="1:44" ht="15.75" x14ac:dyDescent="0.25">
      <c r="A27" s="66">
        <v>169</v>
      </c>
      <c r="B27" s="67" t="s">
        <v>231</v>
      </c>
      <c r="C27" s="189"/>
      <c r="D27" s="189">
        <f>[4]кадый!$C$124</f>
        <v>45</v>
      </c>
      <c r="E27" s="249"/>
      <c r="F27" s="189"/>
      <c r="G27" s="189">
        <f>[4]кадый!$O$124</f>
        <v>40</v>
      </c>
      <c r="H27" s="191"/>
      <c r="I27" s="189"/>
      <c r="J27" s="189">
        <f>[4]кадый!$W$124</f>
        <v>26</v>
      </c>
      <c r="K27" s="191"/>
      <c r="L27" s="189"/>
      <c r="M27" s="189">
        <f>[4]кадый!$S$124</f>
        <v>183.80999999999997</v>
      </c>
      <c r="N27" s="191"/>
      <c r="O27" s="189"/>
      <c r="P27" s="189">
        <f>[4]кадый!$AA$124</f>
        <v>74</v>
      </c>
      <c r="Q27" s="191"/>
      <c r="R27" s="189">
        <f t="shared" ref="R27:R33" si="7">X27/12*4</f>
        <v>0</v>
      </c>
      <c r="S27" s="189">
        <f>[4]кадый!$G$124</f>
        <v>16</v>
      </c>
      <c r="T27" s="191"/>
      <c r="U27" s="189">
        <f>AA27/12*4</f>
        <v>0</v>
      </c>
      <c r="V27" s="189"/>
      <c r="W27" s="191"/>
      <c r="AA27" s="291"/>
      <c r="AB27" s="127"/>
      <c r="AD27">
        <v>2000</v>
      </c>
      <c r="AG27" s="286"/>
      <c r="AH27" s="127"/>
      <c r="AJ27" s="288"/>
      <c r="AM27" s="289">
        <v>2141</v>
      </c>
      <c r="AP27" s="290"/>
    </row>
    <row r="28" spans="1:44" ht="15.75" x14ac:dyDescent="0.25">
      <c r="A28" s="66">
        <v>20</v>
      </c>
      <c r="B28" s="67" t="s">
        <v>232</v>
      </c>
      <c r="C28" s="189"/>
      <c r="D28" s="189">
        <f>[2]кол!$C$124</f>
        <v>8</v>
      </c>
      <c r="E28" s="249"/>
      <c r="F28" s="189"/>
      <c r="G28" s="189">
        <f>[2]кол!$O$124</f>
        <v>0</v>
      </c>
      <c r="H28" s="191"/>
      <c r="I28" s="189"/>
      <c r="J28" s="189">
        <f>[2]кол!$W$124</f>
        <v>4</v>
      </c>
      <c r="K28" s="191"/>
      <c r="L28" s="189"/>
      <c r="M28" s="189">
        <f>[2]кол!$S$124</f>
        <v>66</v>
      </c>
      <c r="N28" s="191"/>
      <c r="O28" s="189"/>
      <c r="P28" s="189">
        <f>[2]кол!$AA$124</f>
        <v>29</v>
      </c>
      <c r="Q28" s="191"/>
      <c r="R28" s="189">
        <f t="shared" si="7"/>
        <v>0</v>
      </c>
      <c r="S28" s="189">
        <f>[2]кол!$G$124</f>
        <v>9</v>
      </c>
      <c r="T28" s="191"/>
      <c r="U28" s="189">
        <f t="shared" si="4"/>
        <v>0</v>
      </c>
      <c r="V28" s="189"/>
      <c r="W28" s="191"/>
      <c r="AA28" s="291"/>
      <c r="AB28" s="127"/>
      <c r="AD28">
        <v>534</v>
      </c>
      <c r="AG28" s="286"/>
      <c r="AH28" s="127"/>
      <c r="AJ28" s="288"/>
      <c r="AM28" s="289">
        <v>1906</v>
      </c>
      <c r="AP28" s="290"/>
    </row>
    <row r="29" spans="1:44" ht="15.75" x14ac:dyDescent="0.25">
      <c r="A29" s="66">
        <v>21</v>
      </c>
      <c r="B29" s="67" t="s">
        <v>233</v>
      </c>
      <c r="C29" s="189"/>
      <c r="D29" s="189">
        <f>[3]МАК!$C$124</f>
        <v>84</v>
      </c>
      <c r="E29" s="249"/>
      <c r="F29" s="189"/>
      <c r="G29" s="189">
        <f>[3]МАК!$O$124</f>
        <v>38</v>
      </c>
      <c r="H29" s="191"/>
      <c r="I29" s="189"/>
      <c r="J29" s="189">
        <f>[3]МАК!$W$124</f>
        <v>0</v>
      </c>
      <c r="K29" s="191"/>
      <c r="L29" s="189"/>
      <c r="M29" s="189">
        <f>[3]МАК!$S$124</f>
        <v>361.17</v>
      </c>
      <c r="N29" s="191"/>
      <c r="O29" s="189"/>
      <c r="P29" s="189">
        <f>[3]МАК!$AA$124</f>
        <v>172</v>
      </c>
      <c r="Q29" s="191"/>
      <c r="R29" s="189">
        <f t="shared" si="7"/>
        <v>0</v>
      </c>
      <c r="S29" s="189">
        <f>[3]МАК!$G$124</f>
        <v>27</v>
      </c>
      <c r="T29" s="191"/>
      <c r="U29" s="189">
        <f t="shared" si="4"/>
        <v>0</v>
      </c>
      <c r="V29" s="189"/>
      <c r="W29" s="191"/>
      <c r="AA29" s="291"/>
      <c r="AB29" s="127"/>
      <c r="AD29">
        <v>1000</v>
      </c>
      <c r="AG29" s="286"/>
      <c r="AH29" s="127"/>
      <c r="AJ29" s="288"/>
      <c r="AM29" s="289">
        <v>4712</v>
      </c>
      <c r="AP29" s="290"/>
    </row>
    <row r="30" spans="1:44" ht="15.75" x14ac:dyDescent="0.25">
      <c r="A30" s="66">
        <v>22</v>
      </c>
      <c r="B30" s="67" t="s">
        <v>205</v>
      </c>
      <c r="C30" s="189"/>
      <c r="D30" s="189">
        <f>[3]МАНТ!$C$124</f>
        <v>639</v>
      </c>
      <c r="E30" s="249"/>
      <c r="F30" s="189"/>
      <c r="G30" s="189">
        <f>[3]МАНТ!$O$124</f>
        <v>13</v>
      </c>
      <c r="H30" s="191"/>
      <c r="I30" s="189"/>
      <c r="J30" s="189">
        <f>[3]МАНТ!$W$124</f>
        <v>3</v>
      </c>
      <c r="K30" s="191"/>
      <c r="L30" s="189"/>
      <c r="M30" s="189">
        <f>[3]МАНТ!$S$124</f>
        <v>403.44</v>
      </c>
      <c r="N30" s="191"/>
      <c r="O30" s="189"/>
      <c r="P30" s="189">
        <f>[3]МАНТ!$AA$124</f>
        <v>184</v>
      </c>
      <c r="Q30" s="191"/>
      <c r="R30" s="189">
        <f t="shared" si="7"/>
        <v>0</v>
      </c>
      <c r="S30" s="189">
        <f>[3]МАНТ!$G$124</f>
        <v>81</v>
      </c>
      <c r="T30" s="191"/>
      <c r="U30" s="189">
        <f t="shared" si="4"/>
        <v>0</v>
      </c>
      <c r="V30" s="189"/>
      <c r="W30" s="191"/>
      <c r="AA30" s="291"/>
      <c r="AB30" s="127"/>
      <c r="AD30">
        <v>2000</v>
      </c>
      <c r="AG30" s="286"/>
      <c r="AH30" s="127"/>
      <c r="AJ30" s="288"/>
      <c r="AM30" s="289">
        <v>7079</v>
      </c>
      <c r="AP30" s="290"/>
    </row>
    <row r="31" spans="1:44" ht="15.75" x14ac:dyDescent="0.25">
      <c r="A31" s="66">
        <v>23</v>
      </c>
      <c r="B31" s="67" t="s">
        <v>206</v>
      </c>
      <c r="C31" s="189"/>
      <c r="D31" s="189">
        <f>[2]спас!$C$124</f>
        <v>0</v>
      </c>
      <c r="E31" s="249"/>
      <c r="F31" s="189"/>
      <c r="G31" s="189">
        <f>[2]спас!$O$124</f>
        <v>10</v>
      </c>
      <c r="H31" s="191"/>
      <c r="I31" s="189"/>
      <c r="J31" s="189">
        <f>[2]спас!$W$124</f>
        <v>5</v>
      </c>
      <c r="K31" s="191"/>
      <c r="L31" s="189"/>
      <c r="M31" s="189">
        <f>[2]спас!$S$124</f>
        <v>67.63000000000001</v>
      </c>
      <c r="N31" s="191"/>
      <c r="O31" s="189"/>
      <c r="P31" s="189">
        <f>[2]спас!$AA$124</f>
        <v>10</v>
      </c>
      <c r="Q31" s="191"/>
      <c r="R31" s="189">
        <f t="shared" si="7"/>
        <v>0</v>
      </c>
      <c r="S31" s="189">
        <f>[2]спас!$G$124</f>
        <v>0</v>
      </c>
      <c r="T31" s="191"/>
      <c r="U31" s="189">
        <f t="shared" si="4"/>
        <v>0</v>
      </c>
      <c r="V31" s="189"/>
      <c r="W31" s="191"/>
      <c r="AA31" s="291"/>
      <c r="AB31" s="127"/>
      <c r="AG31" s="286"/>
      <c r="AH31" s="127"/>
      <c r="AJ31" s="288"/>
      <c r="AM31" s="289"/>
      <c r="AP31" s="290"/>
    </row>
    <row r="32" spans="1:44" ht="15.75" x14ac:dyDescent="0.25">
      <c r="A32" s="66">
        <v>24</v>
      </c>
      <c r="B32" s="67" t="s">
        <v>234</v>
      </c>
      <c r="C32" s="189"/>
      <c r="D32" s="189">
        <f>[4]межа!$C$124</f>
        <v>6</v>
      </c>
      <c r="E32" s="249"/>
      <c r="F32" s="189"/>
      <c r="G32" s="189">
        <f>[4]межа!$O$124</f>
        <v>42</v>
      </c>
      <c r="H32" s="191"/>
      <c r="I32" s="189"/>
      <c r="J32" s="189">
        <f>[4]межа!$W$124</f>
        <v>13</v>
      </c>
      <c r="K32" s="191"/>
      <c r="L32" s="189"/>
      <c r="M32" s="189">
        <f>[4]межа!$S$124</f>
        <v>93.9</v>
      </c>
      <c r="N32" s="191"/>
      <c r="O32" s="189"/>
      <c r="P32" s="189">
        <f>[4]межа!$AA$124</f>
        <v>67</v>
      </c>
      <c r="Q32" s="191"/>
      <c r="R32" s="189">
        <f t="shared" si="7"/>
        <v>0</v>
      </c>
      <c r="S32" s="189">
        <f>[4]межа!$G$124</f>
        <v>20</v>
      </c>
      <c r="T32" s="191"/>
      <c r="U32" s="189">
        <f>AA32/12*4</f>
        <v>0</v>
      </c>
      <c r="V32" s="189"/>
      <c r="W32" s="191"/>
      <c r="AA32" s="291"/>
      <c r="AB32" s="127"/>
      <c r="AD32">
        <v>1400</v>
      </c>
      <c r="AG32" s="286"/>
      <c r="AH32" s="127"/>
      <c r="AJ32" s="288"/>
      <c r="AM32" s="289">
        <v>1332</v>
      </c>
      <c r="AP32" s="290"/>
    </row>
    <row r="33" spans="1:44" ht="15.75" x14ac:dyDescent="0.25">
      <c r="A33" s="66">
        <v>25</v>
      </c>
      <c r="B33" s="67" t="s">
        <v>235</v>
      </c>
      <c r="C33" s="189"/>
      <c r="D33" s="189">
        <f>[2]нея!$C$124</f>
        <v>321</v>
      </c>
      <c r="E33" s="249"/>
      <c r="F33" s="189"/>
      <c r="G33" s="189">
        <f>[2]нея!$O$124</f>
        <v>129</v>
      </c>
      <c r="H33" s="191"/>
      <c r="I33" s="189"/>
      <c r="J33" s="189">
        <f>[2]нея!$W$124</f>
        <v>7</v>
      </c>
      <c r="K33" s="191"/>
      <c r="L33" s="189"/>
      <c r="M33" s="189">
        <f>[2]нея!$S$124</f>
        <v>1038.81</v>
      </c>
      <c r="N33" s="191"/>
      <c r="O33" s="189"/>
      <c r="P33" s="189">
        <f>[2]нея!$AA$124</f>
        <v>445</v>
      </c>
      <c r="Q33" s="191"/>
      <c r="R33" s="189">
        <f t="shared" si="7"/>
        <v>0</v>
      </c>
      <c r="S33" s="189">
        <f>[2]нея!$G$124</f>
        <v>67</v>
      </c>
      <c r="T33" s="191"/>
      <c r="U33" s="189">
        <f t="shared" si="4"/>
        <v>0</v>
      </c>
      <c r="V33" s="189"/>
      <c r="W33" s="191"/>
      <c r="AA33" s="291"/>
      <c r="AB33" s="127"/>
      <c r="AD33">
        <v>1000</v>
      </c>
      <c r="AG33" s="286"/>
      <c r="AH33" s="127"/>
      <c r="AJ33" s="288"/>
      <c r="AM33" s="289">
        <v>4229</v>
      </c>
      <c r="AP33" s="290"/>
    </row>
    <row r="34" spans="1:44" ht="15.75" x14ac:dyDescent="0.25">
      <c r="A34" s="391" t="s">
        <v>273</v>
      </c>
      <c r="B34" s="392"/>
      <c r="C34" s="192">
        <f>SUM(C35:C41)</f>
        <v>0</v>
      </c>
      <c r="D34" s="192">
        <f>SUM(D35:D41)</f>
        <v>2758</v>
      </c>
      <c r="E34" s="187"/>
      <c r="F34" s="192">
        <f>SUM(F35:F41)</f>
        <v>0</v>
      </c>
      <c r="G34" s="192">
        <f>SUM(G35:G41)</f>
        <v>290</v>
      </c>
      <c r="H34" s="276"/>
      <c r="I34" s="192">
        <f>SUM(I35:I41)</f>
        <v>0</v>
      </c>
      <c r="J34" s="192">
        <f>SUM(J35:J41)</f>
        <v>47</v>
      </c>
      <c r="K34" s="276"/>
      <c r="L34" s="192">
        <f>SUM(L35:L41)</f>
        <v>0</v>
      </c>
      <c r="M34" s="192">
        <f>SUM(M35:M41)</f>
        <v>4105.42</v>
      </c>
      <c r="N34" s="276"/>
      <c r="O34" s="192">
        <f>SUM(O35:O41)</f>
        <v>0</v>
      </c>
      <c r="P34" s="192">
        <f>SUM(P35:P41)</f>
        <v>647.57999999999993</v>
      </c>
      <c r="Q34" s="276"/>
      <c r="R34" s="192">
        <f>SUM(R35:R41)</f>
        <v>0</v>
      </c>
      <c r="S34" s="192">
        <f>SUM(S35:S41)</f>
        <v>124</v>
      </c>
      <c r="T34" s="276"/>
      <c r="U34" s="192">
        <f>SUM(U35:U41)</f>
        <v>0</v>
      </c>
      <c r="V34" s="192">
        <f>SUM(V35:V41)</f>
        <v>0</v>
      </c>
      <c r="W34" s="276"/>
      <c r="X34" s="284">
        <f>SUM(X35:X41)</f>
        <v>0</v>
      </c>
      <c r="Y34" s="284">
        <f t="shared" ref="Y34:AR34" si="8">SUM(Y35:Y41)</f>
        <v>0</v>
      </c>
      <c r="Z34" s="284">
        <f t="shared" si="8"/>
        <v>0</v>
      </c>
      <c r="AA34" s="284">
        <f t="shared" si="8"/>
        <v>0</v>
      </c>
      <c r="AB34" s="284">
        <f t="shared" si="8"/>
        <v>0</v>
      </c>
      <c r="AC34" s="284">
        <f t="shared" si="8"/>
        <v>0</v>
      </c>
      <c r="AD34" s="284">
        <f t="shared" si="8"/>
        <v>17444</v>
      </c>
      <c r="AE34" s="284">
        <f t="shared" si="8"/>
        <v>0</v>
      </c>
      <c r="AF34" s="284">
        <f t="shared" si="8"/>
        <v>0</v>
      </c>
      <c r="AG34" s="284">
        <f t="shared" si="8"/>
        <v>0</v>
      </c>
      <c r="AH34" s="284">
        <f t="shared" si="8"/>
        <v>0</v>
      </c>
      <c r="AI34" s="284">
        <f t="shared" si="8"/>
        <v>0</v>
      </c>
      <c r="AJ34" s="284">
        <f t="shared" si="8"/>
        <v>0</v>
      </c>
      <c r="AK34" s="284">
        <f t="shared" si="8"/>
        <v>0</v>
      </c>
      <c r="AL34" s="284">
        <f t="shared" si="8"/>
        <v>0</v>
      </c>
      <c r="AM34" s="284">
        <f t="shared" si="8"/>
        <v>24300</v>
      </c>
      <c r="AN34" s="284">
        <f t="shared" si="8"/>
        <v>0</v>
      </c>
      <c r="AO34" s="284">
        <f t="shared" si="8"/>
        <v>0</v>
      </c>
      <c r="AP34" s="284">
        <f t="shared" si="8"/>
        <v>0</v>
      </c>
      <c r="AQ34" s="284">
        <f t="shared" si="8"/>
        <v>0</v>
      </c>
      <c r="AR34" s="284">
        <f t="shared" si="8"/>
        <v>0</v>
      </c>
    </row>
    <row r="35" spans="1:44" ht="15.75" x14ac:dyDescent="0.25">
      <c r="A35" s="66">
        <v>26</v>
      </c>
      <c r="B35" s="67" t="s">
        <v>207</v>
      </c>
      <c r="C35" s="189"/>
      <c r="D35" s="189">
        <f>[3]ШАР!$C$124</f>
        <v>2360</v>
      </c>
      <c r="E35" s="249"/>
      <c r="F35" s="189"/>
      <c r="G35" s="189">
        <f>[3]ШАР!$O$124</f>
        <v>24</v>
      </c>
      <c r="H35" s="191"/>
      <c r="I35" s="189"/>
      <c r="J35" s="189">
        <f>[3]ШАР!$W$124</f>
        <v>0</v>
      </c>
      <c r="K35" s="191"/>
      <c r="L35" s="189"/>
      <c r="M35" s="189">
        <f>[3]ШАР!$S$124</f>
        <v>2287.7200000000003</v>
      </c>
      <c r="N35" s="191"/>
      <c r="O35" s="189"/>
      <c r="P35" s="189">
        <f>[3]ШАР!$AA$124</f>
        <v>246</v>
      </c>
      <c r="Q35" s="191"/>
      <c r="R35" s="189">
        <f t="shared" ref="R35:R41" si="9">X35/12*4</f>
        <v>0</v>
      </c>
      <c r="S35" s="189">
        <f>[3]ШАР!$G$124</f>
        <v>18</v>
      </c>
      <c r="T35" s="191"/>
      <c r="U35" s="189">
        <f t="shared" si="4"/>
        <v>0</v>
      </c>
      <c r="V35" s="189">
        <f>[3]ШАР!$K$124</f>
        <v>0</v>
      </c>
      <c r="W35" s="191"/>
      <c r="AA35" s="291"/>
      <c r="AB35" s="127"/>
      <c r="AD35">
        <v>10000</v>
      </c>
      <c r="AG35" s="286"/>
      <c r="AH35" s="127"/>
      <c r="AJ35" s="288"/>
      <c r="AM35" s="289">
        <v>13806</v>
      </c>
      <c r="AP35" s="290"/>
    </row>
    <row r="36" spans="1:44" ht="15.75" x14ac:dyDescent="0.25">
      <c r="A36" s="67">
        <v>27</v>
      </c>
      <c r="B36" s="67" t="s">
        <v>236</v>
      </c>
      <c r="C36" s="189"/>
      <c r="D36" s="189">
        <f>[3]РОЖД!$C$124</f>
        <v>12</v>
      </c>
      <c r="E36" s="249"/>
      <c r="F36" s="189"/>
      <c r="G36" s="189">
        <f>[3]РОЖД!$O$124</f>
        <v>75</v>
      </c>
      <c r="H36" s="191"/>
      <c r="I36" s="189"/>
      <c r="J36" s="189">
        <f>[3]РОЖД!$W$124</f>
        <v>19</v>
      </c>
      <c r="K36" s="191"/>
      <c r="L36" s="189"/>
      <c r="M36" s="189">
        <f>[3]РОЖД!$S$124</f>
        <v>262.25</v>
      </c>
      <c r="N36" s="191"/>
      <c r="O36" s="189"/>
      <c r="P36" s="189">
        <f>[3]РОЖД!$AA$124</f>
        <v>59</v>
      </c>
      <c r="Q36" s="191"/>
      <c r="R36" s="189">
        <f t="shared" si="9"/>
        <v>0</v>
      </c>
      <c r="S36" s="189">
        <f>[3]РОЖД!$G$124</f>
        <v>9</v>
      </c>
      <c r="T36" s="191"/>
      <c r="U36" s="189">
        <f t="shared" si="4"/>
        <v>0</v>
      </c>
      <c r="V36" s="189"/>
      <c r="W36" s="191"/>
      <c r="AA36" s="291"/>
      <c r="AB36" s="127"/>
      <c r="AD36">
        <v>5444</v>
      </c>
      <c r="AG36" s="286"/>
      <c r="AH36" s="127"/>
      <c r="AJ36" s="288"/>
      <c r="AM36" s="289">
        <v>1126</v>
      </c>
      <c r="AP36" s="290"/>
    </row>
    <row r="37" spans="1:44" ht="15.75" x14ac:dyDescent="0.25">
      <c r="A37" s="66">
        <v>28</v>
      </c>
      <c r="B37" s="68" t="s">
        <v>237</v>
      </c>
      <c r="C37" s="189"/>
      <c r="D37" s="189">
        <f>[3]ПОНАЗ!$C$124</f>
        <v>55</v>
      </c>
      <c r="E37" s="249"/>
      <c r="F37" s="189"/>
      <c r="G37" s="189">
        <f>[3]ПОНАЗ!$O$124</f>
        <v>18</v>
      </c>
      <c r="H37" s="191"/>
      <c r="I37" s="189"/>
      <c r="J37" s="189">
        <f>[3]ПОНАЗ!$W$124</f>
        <v>6</v>
      </c>
      <c r="K37" s="191"/>
      <c r="L37" s="189"/>
      <c r="M37" s="189">
        <f>[3]ПОНАЗ!$S$124</f>
        <v>401.2</v>
      </c>
      <c r="N37" s="191"/>
      <c r="O37" s="189"/>
      <c r="P37" s="189">
        <f>[3]ПОНАЗ!$AA$124</f>
        <v>30.58</v>
      </c>
      <c r="Q37" s="191"/>
      <c r="R37" s="189">
        <f t="shared" si="9"/>
        <v>0</v>
      </c>
      <c r="S37" s="189">
        <f>[3]ПОНАЗ!$G$124</f>
        <v>4</v>
      </c>
      <c r="T37" s="191"/>
      <c r="U37" s="189">
        <f t="shared" si="4"/>
        <v>0</v>
      </c>
      <c r="V37" s="189"/>
      <c r="W37" s="191"/>
      <c r="AA37" s="291"/>
      <c r="AB37" s="127"/>
      <c r="AD37">
        <v>1000</v>
      </c>
      <c r="AG37" s="286"/>
      <c r="AH37" s="127"/>
      <c r="AJ37" s="288"/>
      <c r="AM37" s="289">
        <v>2529</v>
      </c>
      <c r="AP37" s="290"/>
    </row>
    <row r="38" spans="1:44" ht="15.75" x14ac:dyDescent="0.25">
      <c r="A38" s="66">
        <v>29</v>
      </c>
      <c r="B38" s="67" t="s">
        <v>238</v>
      </c>
      <c r="C38" s="189"/>
      <c r="D38" s="189">
        <f>[2]пыщ!$C$124</f>
        <v>0</v>
      </c>
      <c r="E38" s="249"/>
      <c r="F38" s="189"/>
      <c r="G38" s="189">
        <f>[2]пыщ!$O$124</f>
        <v>20</v>
      </c>
      <c r="H38" s="191"/>
      <c r="I38" s="189"/>
      <c r="J38" s="189">
        <f>[2]пыщ!$W$124</f>
        <v>2</v>
      </c>
      <c r="K38" s="191"/>
      <c r="L38" s="189"/>
      <c r="M38" s="189">
        <f>[2]пыщ!$S$124</f>
        <v>157.35</v>
      </c>
      <c r="N38" s="191"/>
      <c r="O38" s="189"/>
      <c r="P38" s="189">
        <f>[2]пыщ!$AA$124</f>
        <v>43</v>
      </c>
      <c r="Q38" s="191"/>
      <c r="R38" s="189">
        <f t="shared" si="9"/>
        <v>0</v>
      </c>
      <c r="S38" s="189">
        <f>[2]пыщ!$G$124</f>
        <v>13</v>
      </c>
      <c r="T38" s="191"/>
      <c r="U38" s="189">
        <f t="shared" si="4"/>
        <v>0</v>
      </c>
      <c r="V38" s="189"/>
      <c r="W38" s="191"/>
      <c r="AA38" s="291"/>
      <c r="AB38" s="127"/>
      <c r="AD38">
        <v>1000</v>
      </c>
      <c r="AG38" s="286"/>
      <c r="AH38" s="127"/>
      <c r="AJ38" s="288"/>
      <c r="AM38" s="289">
        <v>910</v>
      </c>
      <c r="AP38" s="290"/>
    </row>
    <row r="39" spans="1:44" ht="15.75" x14ac:dyDescent="0.25">
      <c r="A39" s="66">
        <v>30</v>
      </c>
      <c r="B39" s="67" t="s">
        <v>239</v>
      </c>
      <c r="C39" s="189"/>
      <c r="D39" s="189">
        <f>[2]пав!$C$124</f>
        <v>28</v>
      </c>
      <c r="E39" s="249"/>
      <c r="F39" s="189"/>
      <c r="G39" s="189">
        <f>[2]пав!$O$124</f>
        <v>16</v>
      </c>
      <c r="H39" s="191"/>
      <c r="I39" s="189"/>
      <c r="J39" s="189">
        <f>[2]пав!$W$124</f>
        <v>11</v>
      </c>
      <c r="K39" s="191"/>
      <c r="L39" s="189"/>
      <c r="M39" s="189">
        <f>[2]пав!$S$124</f>
        <v>126.01</v>
      </c>
      <c r="N39" s="191"/>
      <c r="O39" s="189"/>
      <c r="P39" s="189">
        <f>[2]пав!$AA$124</f>
        <v>62</v>
      </c>
      <c r="Q39" s="191"/>
      <c r="R39" s="189">
        <f t="shared" si="9"/>
        <v>0</v>
      </c>
      <c r="S39" s="189">
        <f>[2]пав!$G$124</f>
        <v>18</v>
      </c>
      <c r="T39" s="191"/>
      <c r="U39" s="189">
        <f t="shared" si="4"/>
        <v>0</v>
      </c>
      <c r="V39" s="189"/>
      <c r="W39" s="191"/>
      <c r="AA39" s="291"/>
      <c r="AB39" s="127"/>
      <c r="AG39" s="286"/>
      <c r="AH39" s="127"/>
      <c r="AJ39" s="288"/>
      <c r="AM39" s="289">
        <v>1520</v>
      </c>
      <c r="AP39" s="290"/>
    </row>
    <row r="40" spans="1:44" ht="15.75" x14ac:dyDescent="0.25">
      <c r="A40" s="66">
        <v>31</v>
      </c>
      <c r="B40" s="67" t="s">
        <v>240</v>
      </c>
      <c r="C40" s="189"/>
      <c r="D40" s="189">
        <f>[4]вохма!$C$124</f>
        <v>276</v>
      </c>
      <c r="E40" s="249"/>
      <c r="F40" s="189"/>
      <c r="G40" s="189">
        <f>[4]вохма!$O$124</f>
        <v>78</v>
      </c>
      <c r="H40" s="191"/>
      <c r="I40" s="189"/>
      <c r="J40" s="256">
        <f>[4]вохма!$W$124</f>
        <v>1</v>
      </c>
      <c r="K40" s="191"/>
      <c r="L40" s="189"/>
      <c r="M40" s="189">
        <f>[4]вохма!$S$124</f>
        <v>462.26999999999992</v>
      </c>
      <c r="N40" s="191"/>
      <c r="O40" s="189"/>
      <c r="P40" s="256">
        <f>[4]вохма!$AA$124</f>
        <v>148</v>
      </c>
      <c r="Q40" s="191"/>
      <c r="R40" s="189">
        <f t="shared" si="9"/>
        <v>0</v>
      </c>
      <c r="S40" s="189">
        <f>[4]вохма!$G$124</f>
        <v>32</v>
      </c>
      <c r="T40" s="191"/>
      <c r="U40" s="189">
        <f>AA40/12*4</f>
        <v>0</v>
      </c>
      <c r="V40" s="189"/>
      <c r="W40" s="191"/>
      <c r="AA40" s="291"/>
      <c r="AB40" s="127"/>
      <c r="AG40" s="286"/>
      <c r="AH40" s="127"/>
      <c r="AJ40" s="288"/>
      <c r="AM40" s="289">
        <v>3009</v>
      </c>
      <c r="AP40" s="290"/>
    </row>
    <row r="41" spans="1:44" ht="15.75" x14ac:dyDescent="0.25">
      <c r="A41" s="66">
        <v>32</v>
      </c>
      <c r="B41" s="67" t="s">
        <v>241</v>
      </c>
      <c r="C41" s="189"/>
      <c r="D41" s="189">
        <f>[4]богов!$C$124</f>
        <v>27</v>
      </c>
      <c r="E41" s="249"/>
      <c r="F41" s="189"/>
      <c r="G41" s="189">
        <f>[4]богов!$O$124</f>
        <v>59</v>
      </c>
      <c r="H41" s="191"/>
      <c r="I41" s="189"/>
      <c r="J41" s="189">
        <f>[4]богов!$W$124</f>
        <v>8</v>
      </c>
      <c r="K41" s="191"/>
      <c r="L41" s="189"/>
      <c r="M41" s="189">
        <f>[4]богов!$S$124</f>
        <v>408.61999999999995</v>
      </c>
      <c r="N41" s="191"/>
      <c r="O41" s="189"/>
      <c r="P41" s="189">
        <f>[4]богов!$AA$124</f>
        <v>59</v>
      </c>
      <c r="Q41" s="191"/>
      <c r="R41" s="189">
        <f t="shared" si="9"/>
        <v>0</v>
      </c>
      <c r="S41" s="189">
        <f>[4]богов!$G$124</f>
        <v>30</v>
      </c>
      <c r="T41" s="191"/>
      <c r="U41" s="189">
        <f>AA41/12*4</f>
        <v>0</v>
      </c>
      <c r="V41" s="189"/>
      <c r="W41" s="191"/>
      <c r="AA41" s="291"/>
      <c r="AB41" s="127"/>
      <c r="AG41" s="286"/>
      <c r="AH41" s="127"/>
      <c r="AJ41" s="288"/>
      <c r="AM41" s="289">
        <v>1400</v>
      </c>
      <c r="AP41" s="290"/>
    </row>
    <row r="42" spans="1:44" ht="15.75" x14ac:dyDescent="0.25">
      <c r="A42" s="391" t="s">
        <v>269</v>
      </c>
      <c r="B42" s="392"/>
      <c r="C42" s="192">
        <f>SUM(C43:C49)</f>
        <v>0</v>
      </c>
      <c r="D42" s="192">
        <f>SUM(D43:D49)</f>
        <v>9582</v>
      </c>
      <c r="E42" s="187"/>
      <c r="F42" s="192">
        <f>SUM(F43:F49)</f>
        <v>0</v>
      </c>
      <c r="G42" s="192">
        <f>SUM(G43:G49)</f>
        <v>1729</v>
      </c>
      <c r="H42" s="276"/>
      <c r="I42" s="192">
        <f>SUM(I43:I49)</f>
        <v>0</v>
      </c>
      <c r="J42" s="192">
        <f>SUM(J43:J49)</f>
        <v>1272</v>
      </c>
      <c r="K42" s="276"/>
      <c r="L42" s="192">
        <f>SUM(L43:L49)</f>
        <v>0</v>
      </c>
      <c r="M42" s="192">
        <f>SUM(M43:M49)</f>
        <v>19668.3</v>
      </c>
      <c r="N42" s="276"/>
      <c r="O42" s="192">
        <f>SUM(O43:O49)</f>
        <v>0</v>
      </c>
      <c r="P42" s="192">
        <f>SUM(P43:P49)</f>
        <v>5457.03</v>
      </c>
      <c r="Q42" s="276"/>
      <c r="R42" s="192">
        <f>SUM(R43:R49)</f>
        <v>0</v>
      </c>
      <c r="S42" s="192">
        <f>SUM(S43:S49)</f>
        <v>467</v>
      </c>
      <c r="T42" s="276"/>
      <c r="U42" s="192">
        <f>SUM(U43:U49)</f>
        <v>0</v>
      </c>
      <c r="V42" s="192">
        <f>SUM(V43:V49)</f>
        <v>13</v>
      </c>
      <c r="W42" s="276"/>
      <c r="X42" s="284">
        <f>SUM(X43:X48)</f>
        <v>103352</v>
      </c>
      <c r="Y42" s="284">
        <f t="shared" ref="Y42:AR42" si="10">SUM(Y43:Y48)</f>
        <v>0</v>
      </c>
      <c r="Z42" s="284">
        <f t="shared" si="10"/>
        <v>0</v>
      </c>
      <c r="AA42" s="284">
        <f t="shared" si="10"/>
        <v>53250</v>
      </c>
      <c r="AB42" s="284">
        <f t="shared" si="10"/>
        <v>0</v>
      </c>
      <c r="AC42" s="284">
        <f t="shared" si="10"/>
        <v>0</v>
      </c>
      <c r="AD42" s="284">
        <f t="shared" si="10"/>
        <v>91261</v>
      </c>
      <c r="AE42" s="284">
        <f t="shared" si="10"/>
        <v>0</v>
      </c>
      <c r="AF42" s="284">
        <f t="shared" si="10"/>
        <v>0</v>
      </c>
      <c r="AG42" s="284">
        <f t="shared" si="10"/>
        <v>796032</v>
      </c>
      <c r="AH42" s="284">
        <f t="shared" si="10"/>
        <v>0</v>
      </c>
      <c r="AI42" s="284">
        <f t="shared" si="10"/>
        <v>0</v>
      </c>
      <c r="AJ42" s="284">
        <f t="shared" si="10"/>
        <v>32836</v>
      </c>
      <c r="AK42" s="284">
        <f t="shared" si="10"/>
        <v>0</v>
      </c>
      <c r="AL42" s="284">
        <f t="shared" si="10"/>
        <v>0</v>
      </c>
      <c r="AM42" s="284">
        <f t="shared" si="10"/>
        <v>63713</v>
      </c>
      <c r="AN42" s="284">
        <f t="shared" si="10"/>
        <v>0</v>
      </c>
      <c r="AO42" s="284">
        <f t="shared" si="10"/>
        <v>0</v>
      </c>
      <c r="AP42" s="284">
        <f t="shared" si="10"/>
        <v>0</v>
      </c>
      <c r="AQ42" s="284">
        <f t="shared" si="10"/>
        <v>0</v>
      </c>
      <c r="AR42" s="284">
        <f t="shared" si="10"/>
        <v>0</v>
      </c>
    </row>
    <row r="43" spans="1:44" ht="15.75" x14ac:dyDescent="0.25">
      <c r="A43" s="66">
        <v>33</v>
      </c>
      <c r="B43" s="67" t="s">
        <v>208</v>
      </c>
      <c r="C43" s="189"/>
      <c r="D43" s="189">
        <f>[4]роддом!$C$124</f>
        <v>734</v>
      </c>
      <c r="E43" s="249"/>
      <c r="F43" s="189"/>
      <c r="G43" s="189">
        <f>[4]роддом!$O$124</f>
        <v>89</v>
      </c>
      <c r="H43" s="191"/>
      <c r="I43" s="189"/>
      <c r="J43" s="189">
        <f>[4]роддом!$W$124</f>
        <v>0</v>
      </c>
      <c r="K43" s="191"/>
      <c r="L43" s="189"/>
      <c r="M43" s="189">
        <f>[4]роддом!$S$124</f>
        <v>719.85</v>
      </c>
      <c r="N43" s="191"/>
      <c r="O43" s="189"/>
      <c r="P43" s="189">
        <f>[4]роддом!$AA$124</f>
        <v>0</v>
      </c>
      <c r="Q43" s="191"/>
      <c r="R43" s="189">
        <f>X43/12*4</f>
        <v>0</v>
      </c>
      <c r="S43" s="189">
        <f>[4]роддом!$G$124</f>
        <v>0</v>
      </c>
      <c r="T43" s="191"/>
      <c r="U43" s="189">
        <f>AA43/12*4</f>
        <v>0</v>
      </c>
      <c r="V43" s="189"/>
      <c r="W43" s="191"/>
      <c r="AA43" s="291"/>
      <c r="AB43" s="127"/>
      <c r="AD43">
        <v>2500</v>
      </c>
      <c r="AG43" s="286"/>
      <c r="AH43" s="127"/>
      <c r="AJ43" s="288"/>
      <c r="AM43" s="289"/>
      <c r="AP43" s="290"/>
    </row>
    <row r="44" spans="1:44" ht="15.75" x14ac:dyDescent="0.25">
      <c r="A44" s="66">
        <v>34</v>
      </c>
      <c r="B44" s="67" t="s">
        <v>209</v>
      </c>
      <c r="C44" s="189"/>
      <c r="D44" s="189">
        <f>[2]муз1!$C$124</f>
        <v>1678</v>
      </c>
      <c r="E44" s="249"/>
      <c r="F44" s="189"/>
      <c r="G44" s="189">
        <f>[2]муз1!$O$124</f>
        <v>616</v>
      </c>
      <c r="H44" s="191"/>
      <c r="I44" s="189"/>
      <c r="J44" s="189">
        <f>[2]муз1!$W$124</f>
        <v>915</v>
      </c>
      <c r="K44" s="191"/>
      <c r="L44" s="189"/>
      <c r="M44" s="189">
        <f>[2]муз1!$S$124</f>
        <v>3328</v>
      </c>
      <c r="N44" s="191"/>
      <c r="O44" s="189"/>
      <c r="P44" s="189">
        <f>[2]муз1!$AA$124</f>
        <v>996</v>
      </c>
      <c r="Q44" s="191"/>
      <c r="R44" s="189"/>
      <c r="S44" s="189">
        <f>[2]муз1!$G$124</f>
        <v>0</v>
      </c>
      <c r="T44" s="191"/>
      <c r="U44" s="189">
        <f t="shared" si="4"/>
        <v>0</v>
      </c>
      <c r="V44" s="189">
        <f>[2]муз1!$K$124</f>
        <v>13</v>
      </c>
      <c r="W44" s="191"/>
      <c r="X44">
        <v>103352</v>
      </c>
      <c r="AA44" s="291"/>
      <c r="AB44" s="127"/>
      <c r="AD44">
        <v>88261</v>
      </c>
      <c r="AG44" s="286">
        <v>317918</v>
      </c>
      <c r="AH44" s="127"/>
      <c r="AJ44" s="288"/>
      <c r="AM44" s="289"/>
      <c r="AP44" s="290"/>
    </row>
    <row r="45" spans="1:44" ht="15.75" x14ac:dyDescent="0.25">
      <c r="A45" s="66">
        <v>35</v>
      </c>
      <c r="B45" s="67" t="s">
        <v>210</v>
      </c>
      <c r="C45" s="189"/>
      <c r="D45" s="189">
        <f>'[4]муз2 '!$C$124</f>
        <v>2713</v>
      </c>
      <c r="E45" s="249"/>
      <c r="F45" s="189"/>
      <c r="G45" s="189">
        <f>'[4]муз2 '!$O$124</f>
        <v>97</v>
      </c>
      <c r="H45" s="191"/>
      <c r="I45" s="189"/>
      <c r="J45" s="189">
        <f>'[4]муз2 '!$W$124</f>
        <v>52</v>
      </c>
      <c r="K45" s="191"/>
      <c r="L45" s="189"/>
      <c r="M45" s="189">
        <f>'[4]муз2 '!$S$124</f>
        <v>1289</v>
      </c>
      <c r="N45" s="191"/>
      <c r="O45" s="189"/>
      <c r="P45" s="189">
        <f>'[4]муз2 '!$AA$124</f>
        <v>513</v>
      </c>
      <c r="Q45" s="191"/>
      <c r="R45" s="189">
        <f>X45/12*4</f>
        <v>0</v>
      </c>
      <c r="S45" s="189">
        <f>'[4]муз2 '!$G$124</f>
        <v>0</v>
      </c>
      <c r="T45" s="191"/>
      <c r="U45" s="189"/>
      <c r="V45" s="189">
        <f>[4]Гал!$K$124</f>
        <v>0</v>
      </c>
      <c r="W45" s="191"/>
      <c r="AA45" s="291">
        <v>53250</v>
      </c>
      <c r="AB45" s="127"/>
      <c r="AG45" s="286">
        <v>256109</v>
      </c>
      <c r="AH45" s="127"/>
      <c r="AJ45" s="288"/>
      <c r="AM45" s="289"/>
      <c r="AP45" s="290"/>
    </row>
    <row r="46" spans="1:44" ht="15.75" x14ac:dyDescent="0.25">
      <c r="A46" s="66">
        <v>36</v>
      </c>
      <c r="B46" s="67" t="s">
        <v>212</v>
      </c>
      <c r="C46" s="189"/>
      <c r="D46" s="189">
        <f>[4]стомНер!$C$124</f>
        <v>0</v>
      </c>
      <c r="E46" s="249"/>
      <c r="F46" s="189"/>
      <c r="G46" s="189">
        <f>[4]полик4!$O$124</f>
        <v>77</v>
      </c>
      <c r="H46" s="191"/>
      <c r="I46" s="189"/>
      <c r="J46" s="189">
        <f>[4]полик4!$W$124</f>
        <v>63</v>
      </c>
      <c r="K46" s="191"/>
      <c r="L46" s="189"/>
      <c r="M46" s="189">
        <f>[4]полик4!$S$124</f>
        <v>873</v>
      </c>
      <c r="N46" s="191"/>
      <c r="O46" s="189"/>
      <c r="P46" s="189">
        <f>[4]полик4!$AA$124</f>
        <v>198</v>
      </c>
      <c r="Q46" s="191"/>
      <c r="R46" s="189">
        <f>X46/12*4</f>
        <v>0</v>
      </c>
      <c r="S46" s="189">
        <f>[4]полик4!$G$124</f>
        <v>0</v>
      </c>
      <c r="T46" s="191"/>
      <c r="U46" s="189">
        <f>AA46/12*4</f>
        <v>0</v>
      </c>
      <c r="V46" s="189">
        <f>[4]Гал!$K$124</f>
        <v>0</v>
      </c>
      <c r="W46" s="191"/>
      <c r="AA46" s="291"/>
      <c r="AB46" s="127"/>
      <c r="AG46" s="286">
        <v>96688</v>
      </c>
      <c r="AH46" s="127"/>
      <c r="AJ46" s="288"/>
      <c r="AM46" s="289"/>
      <c r="AP46" s="290"/>
    </row>
    <row r="47" spans="1:44" ht="15.75" x14ac:dyDescent="0.25">
      <c r="A47" s="66">
        <v>37</v>
      </c>
      <c r="B47" s="141" t="s">
        <v>252</v>
      </c>
      <c r="C47" s="189"/>
      <c r="D47" s="189">
        <f>[2]стом1!$C$124</f>
        <v>0</v>
      </c>
      <c r="E47" s="249"/>
      <c r="F47" s="189"/>
      <c r="G47" s="189">
        <f>[2]стом1!$O$124</f>
        <v>0</v>
      </c>
      <c r="H47" s="191"/>
      <c r="I47" s="189"/>
      <c r="J47" s="189">
        <f>[2]стом1!$W$124</f>
        <v>0</v>
      </c>
      <c r="K47" s="191"/>
      <c r="L47" s="189"/>
      <c r="M47" s="189">
        <f>[2]стом1!$S$124</f>
        <v>2808.9799999999996</v>
      </c>
      <c r="N47" s="191"/>
      <c r="O47" s="189"/>
      <c r="P47" s="189">
        <f>[2]стом1!$AA$124</f>
        <v>278.02999999999997</v>
      </c>
      <c r="Q47" s="191"/>
      <c r="R47" s="189">
        <f>X47/12*4</f>
        <v>0</v>
      </c>
      <c r="S47" s="189"/>
      <c r="T47" s="191"/>
      <c r="U47" s="189">
        <f t="shared" si="4"/>
        <v>0</v>
      </c>
      <c r="V47" s="189">
        <f>[4]Гал!$K$124</f>
        <v>0</v>
      </c>
      <c r="W47" s="191"/>
      <c r="AA47" s="291"/>
      <c r="AB47" s="127"/>
      <c r="AD47">
        <v>500</v>
      </c>
      <c r="AG47" s="286">
        <v>125317</v>
      </c>
      <c r="AH47" s="127"/>
      <c r="AJ47" s="288">
        <v>32836</v>
      </c>
      <c r="AM47" s="289"/>
      <c r="AP47" s="290"/>
    </row>
    <row r="48" spans="1:44" ht="15" x14ac:dyDescent="0.2">
      <c r="A48" s="66">
        <v>38</v>
      </c>
      <c r="B48" s="141" t="s">
        <v>218</v>
      </c>
      <c r="C48" s="189"/>
      <c r="D48" s="189">
        <f>[3]смп!$C$124</f>
        <v>0</v>
      </c>
      <c r="E48" s="190"/>
      <c r="F48" s="189"/>
      <c r="G48" s="189">
        <f>[3]смп!$O$124</f>
        <v>0</v>
      </c>
      <c r="H48" s="191"/>
      <c r="I48" s="189"/>
      <c r="J48" s="189">
        <f>[3]смп!$W$124</f>
        <v>0</v>
      </c>
      <c r="K48" s="191"/>
      <c r="L48" s="189"/>
      <c r="M48" s="189">
        <f>[3]смп!$S$124</f>
        <v>0</v>
      </c>
      <c r="N48" s="191"/>
      <c r="O48" s="189"/>
      <c r="P48" s="189">
        <f>[3]смп!$AA$124</f>
        <v>0</v>
      </c>
      <c r="Q48" s="191"/>
      <c r="R48" s="189">
        <f>X48/12*4</f>
        <v>0</v>
      </c>
      <c r="S48" s="189">
        <f>[3]смп!$G$124</f>
        <v>0</v>
      </c>
      <c r="T48" s="191"/>
      <c r="U48" s="189">
        <f t="shared" si="4"/>
        <v>0</v>
      </c>
      <c r="V48" s="189">
        <f>[3]смп!$K$124</f>
        <v>0</v>
      </c>
      <c r="W48" s="191"/>
      <c r="AA48" s="291"/>
      <c r="AB48" s="127"/>
      <c r="AG48" s="286"/>
      <c r="AH48" s="127"/>
      <c r="AJ48" s="288"/>
      <c r="AM48" s="289">
        <v>63713</v>
      </c>
      <c r="AP48" s="290"/>
    </row>
    <row r="49" spans="1:44" ht="15.75" x14ac:dyDescent="0.25">
      <c r="A49" s="66"/>
      <c r="B49" s="277" t="s">
        <v>270</v>
      </c>
      <c r="C49" s="192">
        <f>SUM(C50:C56)</f>
        <v>0</v>
      </c>
      <c r="D49" s="192">
        <f>SUM(D50:D56)</f>
        <v>4457</v>
      </c>
      <c r="E49" s="192">
        <f>SUM(E50:E56)</f>
        <v>0</v>
      </c>
      <c r="F49" s="187"/>
      <c r="G49" s="192">
        <f>SUM(G50:G56)</f>
        <v>850</v>
      </c>
      <c r="H49" s="192">
        <f>SUM(H50:H56)</f>
        <v>0</v>
      </c>
      <c r="I49" s="276"/>
      <c r="J49" s="192">
        <f>SUM(J50:J56)</f>
        <v>242</v>
      </c>
      <c r="K49" s="192">
        <f>SUM(K50:K56)</f>
        <v>0</v>
      </c>
      <c r="L49" s="276"/>
      <c r="M49" s="192">
        <f>SUM(M50:M56)</f>
        <v>10649.47</v>
      </c>
      <c r="N49" s="192">
        <f>SUM(N50:N56)</f>
        <v>0</v>
      </c>
      <c r="O49" s="276"/>
      <c r="P49" s="192">
        <f>SUM(P50:P56)</f>
        <v>3472</v>
      </c>
      <c r="Q49" s="192">
        <f>SUM(Q50:Q56)</f>
        <v>0</v>
      </c>
      <c r="R49" s="276"/>
      <c r="S49" s="192">
        <f>SUM(S50:S56)</f>
        <v>467</v>
      </c>
      <c r="T49" s="192">
        <f>SUM(T50:T56)</f>
        <v>0</v>
      </c>
      <c r="U49" s="276"/>
      <c r="V49" s="192">
        <f>SUM(V50:V56)</f>
        <v>0</v>
      </c>
      <c r="W49" s="192">
        <f>SUM(W50:W56)</f>
        <v>0</v>
      </c>
      <c r="X49" s="287">
        <f>SUM(X50:X56)</f>
        <v>135024</v>
      </c>
      <c r="Y49" s="287">
        <f t="shared" ref="Y49:AR49" si="11">SUM(Y50:Y56)</f>
        <v>0</v>
      </c>
      <c r="Z49" s="287">
        <f t="shared" si="11"/>
        <v>0</v>
      </c>
      <c r="AA49" s="287">
        <f t="shared" si="11"/>
        <v>19652</v>
      </c>
      <c r="AB49" s="287">
        <f t="shared" si="11"/>
        <v>0</v>
      </c>
      <c r="AC49" s="287">
        <f t="shared" si="11"/>
        <v>0</v>
      </c>
      <c r="AD49" s="287">
        <f t="shared" si="11"/>
        <v>16200</v>
      </c>
      <c r="AE49" s="287">
        <f t="shared" si="11"/>
        <v>0</v>
      </c>
      <c r="AF49" s="287">
        <f t="shared" si="11"/>
        <v>0</v>
      </c>
      <c r="AG49" s="287">
        <f t="shared" si="11"/>
        <v>345382</v>
      </c>
      <c r="AH49" s="287">
        <f t="shared" si="11"/>
        <v>0</v>
      </c>
      <c r="AI49" s="287">
        <f t="shared" si="11"/>
        <v>0</v>
      </c>
      <c r="AJ49" s="287">
        <f t="shared" si="11"/>
        <v>195486</v>
      </c>
      <c r="AK49" s="287">
        <f t="shared" si="11"/>
        <v>0</v>
      </c>
      <c r="AL49" s="287">
        <f t="shared" si="11"/>
        <v>0</v>
      </c>
      <c r="AM49" s="287">
        <f t="shared" si="11"/>
        <v>27726</v>
      </c>
      <c r="AN49" s="287">
        <f t="shared" si="11"/>
        <v>0</v>
      </c>
      <c r="AO49" s="287">
        <f t="shared" si="11"/>
        <v>0</v>
      </c>
      <c r="AP49" s="287">
        <f t="shared" si="11"/>
        <v>0</v>
      </c>
      <c r="AQ49" s="287">
        <f t="shared" si="11"/>
        <v>0</v>
      </c>
      <c r="AR49" s="287">
        <f t="shared" si="11"/>
        <v>0</v>
      </c>
    </row>
    <row r="50" spans="1:44" ht="15.75" x14ac:dyDescent="0.25">
      <c r="A50" s="67" t="s">
        <v>270</v>
      </c>
      <c r="B50" s="77" t="s">
        <v>213</v>
      </c>
      <c r="C50" s="189"/>
      <c r="D50" s="189">
        <f>[2]костр!$C$124</f>
        <v>705</v>
      </c>
      <c r="E50" s="249"/>
      <c r="F50" s="189"/>
      <c r="G50" s="189">
        <f>[2]костр!$O$124</f>
        <v>90</v>
      </c>
      <c r="H50" s="191"/>
      <c r="I50" s="189"/>
      <c r="J50" s="189">
        <f>[2]костр!$W$124</f>
        <v>36</v>
      </c>
      <c r="K50" s="191"/>
      <c r="L50" s="189"/>
      <c r="M50" s="262">
        <f>[2]костр!$S$124</f>
        <v>1362.82</v>
      </c>
      <c r="N50" s="191"/>
      <c r="O50" s="189"/>
      <c r="P50" s="189">
        <f>[2]костр!$AA$124</f>
        <v>402</v>
      </c>
      <c r="Q50" s="191"/>
      <c r="R50" s="189"/>
      <c r="S50" s="189">
        <f>[2]костр!$G$124</f>
        <v>0</v>
      </c>
      <c r="T50" s="191"/>
      <c r="U50" s="189"/>
      <c r="V50" s="189">
        <f>[4]Гал!$K$124</f>
        <v>0</v>
      </c>
      <c r="W50" s="191"/>
      <c r="X50" s="189">
        <v>62050</v>
      </c>
      <c r="Y50" s="189">
        <f t="shared" ref="Y50:AE50" si="12">SUM(Y51:Y57)</f>
        <v>0</v>
      </c>
      <c r="Z50" s="189">
        <f t="shared" si="12"/>
        <v>0</v>
      </c>
      <c r="AA50" s="292">
        <v>13652</v>
      </c>
      <c r="AB50" s="189">
        <f t="shared" si="12"/>
        <v>0</v>
      </c>
      <c r="AC50" s="189">
        <f t="shared" si="12"/>
        <v>0</v>
      </c>
      <c r="AD50" s="285">
        <v>13000</v>
      </c>
      <c r="AE50" s="189">
        <f t="shared" si="12"/>
        <v>0</v>
      </c>
      <c r="AG50" s="286">
        <v>128230</v>
      </c>
      <c r="AH50" s="127"/>
      <c r="AJ50" s="288">
        <v>60452</v>
      </c>
      <c r="AM50" s="289">
        <v>0</v>
      </c>
      <c r="AP50" s="290"/>
    </row>
    <row r="51" spans="1:44" ht="15.75" x14ac:dyDescent="0.25">
      <c r="A51" s="67"/>
      <c r="B51" s="77" t="s">
        <v>242</v>
      </c>
      <c r="C51" s="189"/>
      <c r="D51" s="189">
        <f>[3]ВОЛГ!$C$124</f>
        <v>2012</v>
      </c>
      <c r="E51" s="249"/>
      <c r="F51" s="189"/>
      <c r="G51" s="189">
        <f>[3]ВОЛГ!$O$124</f>
        <v>177</v>
      </c>
      <c r="H51" s="191"/>
      <c r="I51" s="189"/>
      <c r="J51" s="189">
        <f>[3]ВОЛГ!$W$124</f>
        <v>20</v>
      </c>
      <c r="K51" s="191"/>
      <c r="L51" s="189"/>
      <c r="M51" s="189">
        <f>[3]ВОЛГ!$S$124</f>
        <v>2528.41</v>
      </c>
      <c r="N51" s="191"/>
      <c r="O51" s="189"/>
      <c r="P51" s="189">
        <f>[3]ВОЛГ!$AA$124</f>
        <v>952</v>
      </c>
      <c r="Q51" s="191"/>
      <c r="R51" s="189"/>
      <c r="S51" s="189">
        <f>[3]ВОЛГ!$G$124</f>
        <v>158</v>
      </c>
      <c r="T51" s="191"/>
      <c r="U51" s="189"/>
      <c r="V51" s="189">
        <f>[4]Гал!$K$124</f>
        <v>0</v>
      </c>
      <c r="W51" s="191"/>
      <c r="X51">
        <v>28474</v>
      </c>
      <c r="AA51" s="291"/>
      <c r="AB51" s="127"/>
      <c r="AG51" s="286">
        <v>39271</v>
      </c>
      <c r="AH51" s="127"/>
      <c r="AJ51" s="288">
        <v>41165</v>
      </c>
      <c r="AM51" s="289">
        <v>5809</v>
      </c>
      <c r="AP51" s="290"/>
    </row>
    <row r="52" spans="1:44" ht="15.75" x14ac:dyDescent="0.25">
      <c r="A52" s="67"/>
      <c r="B52" s="77" t="s">
        <v>274</v>
      </c>
      <c r="C52" s="189"/>
      <c r="D52" s="189">
        <f>[4]красное!$C$124</f>
        <v>14</v>
      </c>
      <c r="E52" s="249"/>
      <c r="F52" s="189"/>
      <c r="G52" s="189">
        <f>[4]красное!$O$124</f>
        <v>15</v>
      </c>
      <c r="H52" s="191"/>
      <c r="I52" s="189"/>
      <c r="J52" s="189">
        <f>[4]красное!$W$124</f>
        <v>10</v>
      </c>
      <c r="K52" s="191"/>
      <c r="L52" s="189"/>
      <c r="M52" s="189">
        <f>[4]красное!$S$124</f>
        <v>151.76999999999998</v>
      </c>
      <c r="N52" s="191"/>
      <c r="O52" s="189"/>
      <c r="P52" s="189">
        <f>[4]красное!$AA$124</f>
        <v>123</v>
      </c>
      <c r="Q52" s="191"/>
      <c r="R52" s="189"/>
      <c r="S52" s="189">
        <f>[4]красное!$G$124</f>
        <v>47</v>
      </c>
      <c r="T52" s="191"/>
      <c r="U52" s="189"/>
      <c r="V52" s="189">
        <f>[4]Гал!$K$124</f>
        <v>0</v>
      </c>
      <c r="W52" s="191"/>
      <c r="X52">
        <v>3200</v>
      </c>
      <c r="AA52" s="291">
        <v>6000</v>
      </c>
      <c r="AB52" s="127"/>
      <c r="AD52">
        <v>1000</v>
      </c>
      <c r="AG52" s="286">
        <v>39436</v>
      </c>
      <c r="AH52" s="127"/>
      <c r="AJ52" s="288">
        <v>26656</v>
      </c>
      <c r="AM52" s="289">
        <v>4921</v>
      </c>
      <c r="AP52" s="290"/>
    </row>
    <row r="53" spans="1:44" ht="15.75" x14ac:dyDescent="0.25">
      <c r="A53" s="66">
        <v>40</v>
      </c>
      <c r="B53" s="77" t="s">
        <v>244</v>
      </c>
      <c r="C53" s="189"/>
      <c r="D53" s="189">
        <f>[4]нерехта!$C$124</f>
        <v>1690</v>
      </c>
      <c r="E53" s="249"/>
      <c r="F53" s="189"/>
      <c r="G53" s="189">
        <f>[4]нерехта!$O$124</f>
        <v>533</v>
      </c>
      <c r="H53" s="191"/>
      <c r="I53" s="189"/>
      <c r="J53" s="189">
        <f>[4]нерехта!$W$124</f>
        <v>174</v>
      </c>
      <c r="K53" s="191"/>
      <c r="L53" s="189"/>
      <c r="M53" s="189">
        <f>[4]нерехта!$S$124</f>
        <v>3534.3400000000006</v>
      </c>
      <c r="N53" s="191"/>
      <c r="O53" s="189"/>
      <c r="P53" s="189">
        <f>[4]нерехта!$AA$124</f>
        <v>1560</v>
      </c>
      <c r="Q53" s="191"/>
      <c r="R53" s="189"/>
      <c r="S53" s="189">
        <f>[4]нерехта!$G$124</f>
        <v>242</v>
      </c>
      <c r="T53" s="191"/>
      <c r="U53" s="189"/>
      <c r="V53" s="189">
        <f>[4]Гал!$K$124</f>
        <v>0</v>
      </c>
      <c r="W53" s="191"/>
      <c r="X53">
        <v>41300</v>
      </c>
      <c r="AA53" s="291"/>
      <c r="AB53" s="127"/>
      <c r="AG53" s="286">
        <v>106408</v>
      </c>
      <c r="AH53" s="127"/>
      <c r="AJ53" s="288">
        <v>57770</v>
      </c>
      <c r="AM53" s="289">
        <v>9344</v>
      </c>
      <c r="AP53" s="290"/>
    </row>
    <row r="54" spans="1:44" ht="15.75" x14ac:dyDescent="0.25">
      <c r="A54" s="66">
        <v>41</v>
      </c>
      <c r="B54" s="77" t="s">
        <v>214</v>
      </c>
      <c r="C54" s="189"/>
      <c r="D54" s="189">
        <f>[4]стомНер!$C$124</f>
        <v>0</v>
      </c>
      <c r="E54" s="249"/>
      <c r="F54" s="189"/>
      <c r="G54" s="189">
        <f>[4]стомНер!$O$124</f>
        <v>0</v>
      </c>
      <c r="H54" s="191"/>
      <c r="I54" s="189"/>
      <c r="J54" s="189">
        <f>[4]стомНер!$W$124</f>
        <v>0</v>
      </c>
      <c r="K54" s="191"/>
      <c r="L54" s="189"/>
      <c r="M54" s="189">
        <f>[4]стомНер!$S$124</f>
        <v>2677.44</v>
      </c>
      <c r="N54" s="191"/>
      <c r="O54" s="189"/>
      <c r="P54" s="189">
        <f>[4]стомНер!$AA$124</f>
        <v>354</v>
      </c>
      <c r="Q54" s="191"/>
      <c r="R54" s="189">
        <f>X54/12*4</f>
        <v>0</v>
      </c>
      <c r="S54" s="189">
        <f>[4]стомНер!$G$124</f>
        <v>0</v>
      </c>
      <c r="T54" s="191"/>
      <c r="U54" s="189">
        <f>AA54/12*4</f>
        <v>0</v>
      </c>
      <c r="V54" s="189">
        <f>[4]Гал!$K$124</f>
        <v>0</v>
      </c>
      <c r="W54" s="191"/>
      <c r="AA54" s="291"/>
      <c r="AB54" s="127"/>
      <c r="AG54" s="286">
        <v>32037</v>
      </c>
      <c r="AH54" s="127"/>
      <c r="AJ54" s="288">
        <v>9443</v>
      </c>
      <c r="AM54" s="289"/>
      <c r="AP54" s="290"/>
    </row>
    <row r="55" spans="1:44" ht="15.75" x14ac:dyDescent="0.25">
      <c r="A55" s="66">
        <v>42</v>
      </c>
      <c r="B55" s="77" t="s">
        <v>245</v>
      </c>
      <c r="C55" s="189"/>
      <c r="D55" s="189">
        <f>[3]ОСТР!$C$124</f>
        <v>26</v>
      </c>
      <c r="E55" s="249"/>
      <c r="F55" s="189"/>
      <c r="G55" s="189">
        <f>[3]ОСТР!$O$124</f>
        <v>12</v>
      </c>
      <c r="H55" s="191"/>
      <c r="I55" s="189"/>
      <c r="J55" s="189">
        <f>[3]ОСТР!$W$124</f>
        <v>1</v>
      </c>
      <c r="K55" s="191"/>
      <c r="L55" s="189"/>
      <c r="M55" s="189">
        <f>[3]ОСТР!$S$124</f>
        <v>87.56</v>
      </c>
      <c r="N55" s="191"/>
      <c r="O55" s="189"/>
      <c r="P55" s="189">
        <f>[3]ОСТР!$AA$124</f>
        <v>13</v>
      </c>
      <c r="Q55" s="191"/>
      <c r="R55" s="189">
        <f>X55/12*4</f>
        <v>0</v>
      </c>
      <c r="S55" s="189">
        <f>[3]ОСТР!$G$124</f>
        <v>5</v>
      </c>
      <c r="T55" s="191"/>
      <c r="U55" s="189">
        <f t="shared" si="4"/>
        <v>0</v>
      </c>
      <c r="V55" s="189">
        <f>[4]Гал!$K$124</f>
        <v>0</v>
      </c>
      <c r="W55" s="191"/>
      <c r="AA55" s="291"/>
      <c r="AB55" s="127"/>
      <c r="AD55">
        <v>1200</v>
      </c>
      <c r="AG55" s="286"/>
      <c r="AH55" s="127"/>
      <c r="AJ55" s="288"/>
      <c r="AM55" s="289">
        <v>3688</v>
      </c>
      <c r="AP55" s="290"/>
    </row>
    <row r="56" spans="1:44" ht="15.75" x14ac:dyDescent="0.25">
      <c r="A56" s="66">
        <v>43</v>
      </c>
      <c r="B56" s="77" t="s">
        <v>246</v>
      </c>
      <c r="C56" s="189"/>
      <c r="D56" s="189">
        <f>[4]суд!$C$124</f>
        <v>10</v>
      </c>
      <c r="E56" s="249"/>
      <c r="F56" s="189"/>
      <c r="G56" s="189">
        <f>[4]суд!$O$124</f>
        <v>23</v>
      </c>
      <c r="H56" s="191"/>
      <c r="I56" s="189"/>
      <c r="J56" s="189">
        <f>[4]суд!$W$124</f>
        <v>1</v>
      </c>
      <c r="K56" s="191"/>
      <c r="L56" s="189"/>
      <c r="M56" s="189">
        <f>[4]суд!$S$124</f>
        <v>307.13</v>
      </c>
      <c r="N56" s="191"/>
      <c r="O56" s="189"/>
      <c r="P56" s="189">
        <f>[4]суд!$AA$124</f>
        <v>68</v>
      </c>
      <c r="Q56" s="191"/>
      <c r="R56" s="189">
        <f>X56/12*4</f>
        <v>0</v>
      </c>
      <c r="S56" s="189">
        <f>[4]суд!$G$124</f>
        <v>15</v>
      </c>
      <c r="T56" s="191"/>
      <c r="U56" s="189">
        <f>AA56/12*4</f>
        <v>0</v>
      </c>
      <c r="V56" s="189">
        <f>[4]Гал!$K$124</f>
        <v>0</v>
      </c>
      <c r="W56" s="191"/>
      <c r="AA56" s="291"/>
      <c r="AB56" s="127"/>
      <c r="AD56">
        <v>1000</v>
      </c>
      <c r="AG56" s="286"/>
      <c r="AH56" s="127"/>
      <c r="AJ56" s="288"/>
      <c r="AM56" s="289">
        <v>3964</v>
      </c>
      <c r="AP56" s="290"/>
    </row>
    <row r="57" spans="1:44" ht="15.75" x14ac:dyDescent="0.25">
      <c r="A57" s="66">
        <v>44</v>
      </c>
      <c r="B57" s="192" t="s">
        <v>276</v>
      </c>
      <c r="C57" s="192">
        <f>SUM(C58:C73)</f>
        <v>0</v>
      </c>
      <c r="D57" s="192">
        <f>SUM(D58:D73)</f>
        <v>11</v>
      </c>
      <c r="E57" s="187"/>
      <c r="F57" s="192">
        <f>SUM(F58:F73)</f>
        <v>0</v>
      </c>
      <c r="G57" s="192">
        <f>SUM(G58:G73)</f>
        <v>680</v>
      </c>
      <c r="H57" s="276"/>
      <c r="I57" s="192">
        <f>SUM(I58:I73)</f>
        <v>0</v>
      </c>
      <c r="J57" s="192">
        <f>SUM(J58:J73)</f>
        <v>0</v>
      </c>
      <c r="K57" s="276"/>
      <c r="L57" s="192">
        <f>SUM(L58:L73)</f>
        <v>0</v>
      </c>
      <c r="M57" s="192">
        <f>SUM(M58:M73)</f>
        <v>10357.27</v>
      </c>
      <c r="N57" s="276"/>
      <c r="O57" s="192">
        <f>SUM(O58:O73)</f>
        <v>0</v>
      </c>
      <c r="P57" s="192">
        <f>SUM(P58:P73)</f>
        <v>1234.24</v>
      </c>
      <c r="Q57" s="276"/>
      <c r="R57" s="192">
        <f>SUM(R58:R73)</f>
        <v>0</v>
      </c>
      <c r="S57" s="192">
        <f>SUM(S58:S73)</f>
        <v>0</v>
      </c>
      <c r="T57" s="276"/>
      <c r="U57" s="192">
        <f>SUM(U58:U73)</f>
        <v>0</v>
      </c>
      <c r="V57" s="192">
        <f>SUM(V58:V73)</f>
        <v>73</v>
      </c>
      <c r="W57" s="276"/>
      <c r="X57" s="284">
        <f>SUM(X58:X73)</f>
        <v>1330</v>
      </c>
      <c r="Y57" s="284">
        <f t="shared" ref="Y57:AR57" si="13">SUM(Y58:Y73)</f>
        <v>0</v>
      </c>
      <c r="Z57" s="284">
        <f t="shared" si="13"/>
        <v>0</v>
      </c>
      <c r="AA57" s="284">
        <f t="shared" si="13"/>
        <v>0</v>
      </c>
      <c r="AB57" s="284">
        <f t="shared" si="13"/>
        <v>0</v>
      </c>
      <c r="AC57" s="284">
        <f t="shared" si="13"/>
        <v>0</v>
      </c>
      <c r="AD57" s="284">
        <f t="shared" si="13"/>
        <v>0</v>
      </c>
      <c r="AE57" s="284">
        <f t="shared" si="13"/>
        <v>0</v>
      </c>
      <c r="AF57" s="284">
        <f t="shared" si="13"/>
        <v>0</v>
      </c>
      <c r="AG57" s="284">
        <f t="shared" si="13"/>
        <v>5000</v>
      </c>
      <c r="AH57" s="284">
        <f t="shared" si="13"/>
        <v>0</v>
      </c>
      <c r="AI57" s="284">
        <f t="shared" si="13"/>
        <v>0</v>
      </c>
      <c r="AJ57" s="284">
        <f t="shared" si="13"/>
        <v>0</v>
      </c>
      <c r="AK57" s="284">
        <f t="shared" si="13"/>
        <v>0</v>
      </c>
      <c r="AL57" s="284">
        <f t="shared" si="13"/>
        <v>0</v>
      </c>
      <c r="AM57" s="284">
        <f t="shared" si="13"/>
        <v>0</v>
      </c>
      <c r="AN57" s="284">
        <f t="shared" si="13"/>
        <v>0</v>
      </c>
      <c r="AO57" s="284">
        <f t="shared" si="13"/>
        <v>0</v>
      </c>
      <c r="AP57" s="284">
        <f t="shared" si="13"/>
        <v>0</v>
      </c>
      <c r="AQ57" s="284">
        <f t="shared" si="13"/>
        <v>0</v>
      </c>
      <c r="AR57" s="284">
        <f t="shared" si="13"/>
        <v>0</v>
      </c>
    </row>
    <row r="58" spans="1:44" ht="15.75" x14ac:dyDescent="0.25">
      <c r="A58" s="66">
        <v>45</v>
      </c>
      <c r="B58" s="67" t="s">
        <v>197</v>
      </c>
      <c r="C58" s="189"/>
      <c r="D58" s="189">
        <f>[4]увд!$C$124</f>
        <v>0</v>
      </c>
      <c r="E58" s="249"/>
      <c r="F58" s="189"/>
      <c r="G58" s="189">
        <f>[4]увд!$O$124</f>
        <v>0</v>
      </c>
      <c r="H58" s="191"/>
      <c r="I58" s="189"/>
      <c r="J58" s="189">
        <f>[4]увд!$W$124</f>
        <v>0</v>
      </c>
      <c r="K58" s="191"/>
      <c r="L58" s="189"/>
      <c r="M58" s="189">
        <f>[4]увд!$S$124</f>
        <v>0</v>
      </c>
      <c r="N58" s="191"/>
      <c r="O58" s="189"/>
      <c r="P58" s="189">
        <f>[4]увд!$AA$124</f>
        <v>0</v>
      </c>
      <c r="Q58" s="191"/>
      <c r="R58" s="189">
        <f>X58/12*4</f>
        <v>0</v>
      </c>
      <c r="S58" s="189">
        <f>[4]увд!$AA$124</f>
        <v>0</v>
      </c>
      <c r="T58" s="191"/>
      <c r="U58" s="189">
        <f>AA58/12*4</f>
        <v>0</v>
      </c>
      <c r="V58" s="189">
        <f>[4]увд!$AA$124</f>
        <v>0</v>
      </c>
      <c r="W58" s="191"/>
      <c r="AA58" s="291"/>
      <c r="AB58" s="127"/>
      <c r="AG58" s="286"/>
      <c r="AH58" s="127"/>
      <c r="AJ58" s="288"/>
      <c r="AM58" s="289"/>
      <c r="AP58" s="290"/>
    </row>
    <row r="59" spans="1:44" ht="15.75" x14ac:dyDescent="0.25">
      <c r="A59" s="66">
        <v>46</v>
      </c>
      <c r="B59" s="67" t="s">
        <v>198</v>
      </c>
      <c r="C59" s="189"/>
      <c r="D59" s="189">
        <f>[3]ФГУ!$C$124</f>
        <v>0</v>
      </c>
      <c r="E59" s="249"/>
      <c r="F59" s="189"/>
      <c r="G59" s="189">
        <f>[3]ФГУ!$O$124</f>
        <v>0</v>
      </c>
      <c r="H59" s="191"/>
      <c r="I59" s="189"/>
      <c r="J59" s="189">
        <f>[3]ФГУ!$W$124</f>
        <v>0</v>
      </c>
      <c r="K59" s="191"/>
      <c r="L59" s="189"/>
      <c r="M59" s="189">
        <f>[3]ФГУ!$S$124</f>
        <v>0</v>
      </c>
      <c r="N59" s="191"/>
      <c r="O59" s="189"/>
      <c r="P59" s="189">
        <f>[3]ФГУ!$AA$124</f>
        <v>0</v>
      </c>
      <c r="Q59" s="191"/>
      <c r="R59" s="189">
        <f t="shared" ref="R59:R73" si="14">X59/12*4</f>
        <v>0</v>
      </c>
      <c r="S59" s="189">
        <f>[3]ФГУ!$G$124</f>
        <v>0</v>
      </c>
      <c r="T59" s="191"/>
      <c r="U59" s="189">
        <f t="shared" ref="U59:U73" si="15">AA59/12*4</f>
        <v>0</v>
      </c>
      <c r="V59" s="189">
        <f>[3]ФГУ!$G$124</f>
        <v>0</v>
      </c>
      <c r="W59" s="191"/>
      <c r="AA59" s="291"/>
      <c r="AB59" s="127"/>
      <c r="AG59" s="286"/>
      <c r="AH59" s="127"/>
      <c r="AJ59" s="288"/>
      <c r="AM59" s="289"/>
      <c r="AP59" s="290"/>
    </row>
    <row r="60" spans="1:44" ht="15.75" x14ac:dyDescent="0.25">
      <c r="A60" s="66">
        <v>47</v>
      </c>
      <c r="B60" s="67" t="s">
        <v>199</v>
      </c>
      <c r="C60" s="189"/>
      <c r="D60" s="189">
        <f>[3]ИК!$C$124</f>
        <v>0</v>
      </c>
      <c r="E60" s="249"/>
      <c r="F60" s="189"/>
      <c r="G60" s="189">
        <f>[3]ИК!$O$124</f>
        <v>0</v>
      </c>
      <c r="H60" s="191"/>
      <c r="I60" s="189"/>
      <c r="J60" s="189">
        <f>[3]ИК!$W$124</f>
        <v>0</v>
      </c>
      <c r="K60" s="191"/>
      <c r="L60" s="189"/>
      <c r="M60" s="189">
        <f>[3]ИК!$S$124</f>
        <v>0</v>
      </c>
      <c r="N60" s="191"/>
      <c r="O60" s="189"/>
      <c r="P60" s="189">
        <f>[3]ИК!$AA$124</f>
        <v>0</v>
      </c>
      <c r="Q60" s="191"/>
      <c r="R60" s="189"/>
      <c r="S60" s="189">
        <f>[3]ИК!$G$124</f>
        <v>0</v>
      </c>
      <c r="T60" s="191"/>
      <c r="U60" s="189">
        <f t="shared" si="15"/>
        <v>0</v>
      </c>
      <c r="V60" s="189">
        <f>[3]ИК!$G$124</f>
        <v>0</v>
      </c>
      <c r="W60" s="191"/>
      <c r="X60">
        <v>1330</v>
      </c>
      <c r="AA60" s="291"/>
      <c r="AB60" s="127"/>
      <c r="AG60" s="286"/>
      <c r="AH60" s="127"/>
      <c r="AJ60" s="288"/>
      <c r="AM60" s="289"/>
      <c r="AP60" s="290"/>
    </row>
    <row r="61" spans="1:44" ht="15.75" x14ac:dyDescent="0.25">
      <c r="A61" s="66">
        <v>48</v>
      </c>
      <c r="B61" s="67" t="s">
        <v>200</v>
      </c>
      <c r="C61" s="189"/>
      <c r="D61" s="189">
        <f>[2]цах!$C$124</f>
        <v>0</v>
      </c>
      <c r="E61" s="249"/>
      <c r="F61" s="189"/>
      <c r="G61" s="189">
        <f>[2]цах!$O$124</f>
        <v>16</v>
      </c>
      <c r="H61" s="191"/>
      <c r="I61" s="189"/>
      <c r="J61" s="189">
        <f>[2]цах!$W$124</f>
        <v>0</v>
      </c>
      <c r="K61" s="191"/>
      <c r="L61" s="189"/>
      <c r="M61" s="189">
        <f>[2]цах!$S$124</f>
        <v>1</v>
      </c>
      <c r="N61" s="191"/>
      <c r="O61" s="189"/>
      <c r="P61" s="189">
        <f>[2]цах!$AA$124</f>
        <v>2</v>
      </c>
      <c r="Q61" s="191"/>
      <c r="R61" s="189">
        <f t="shared" si="14"/>
        <v>0</v>
      </c>
      <c r="S61" s="189">
        <f>[2]цах!$G$124</f>
        <v>0</v>
      </c>
      <c r="T61" s="191"/>
      <c r="U61" s="189">
        <f t="shared" si="15"/>
        <v>0</v>
      </c>
      <c r="V61" s="189">
        <f>[2]цах!$G$124</f>
        <v>0</v>
      </c>
      <c r="W61" s="191"/>
      <c r="AA61" s="291"/>
      <c r="AB61" s="127"/>
      <c r="AG61" s="286"/>
      <c r="AH61" s="127"/>
      <c r="AJ61" s="288"/>
      <c r="AM61" s="289"/>
      <c r="AP61" s="290"/>
    </row>
    <row r="62" spans="1:44" ht="15.75" x14ac:dyDescent="0.25">
      <c r="A62" s="66">
        <v>50</v>
      </c>
      <c r="B62" s="92" t="s">
        <v>98</v>
      </c>
      <c r="C62" s="189"/>
      <c r="D62" s="189">
        <f>[4]ЦЕНТР!$C$124</f>
        <v>0</v>
      </c>
      <c r="E62" s="249"/>
      <c r="F62" s="189"/>
      <c r="G62" s="189">
        <f>[4]ЦЕНТР!$O$124</f>
        <v>0</v>
      </c>
      <c r="H62" s="191"/>
      <c r="I62" s="189"/>
      <c r="J62" s="189">
        <f>[4]ЦЕНТР!$W$124</f>
        <v>0</v>
      </c>
      <c r="K62" s="191"/>
      <c r="L62" s="189"/>
      <c r="M62" s="189">
        <f>[4]ЦЕНТР!$S$124</f>
        <v>104.99999999999999</v>
      </c>
      <c r="N62" s="191"/>
      <c r="O62" s="189"/>
      <c r="P62" s="189">
        <f>[4]ЦЕНТР!$AA$124</f>
        <v>39</v>
      </c>
      <c r="Q62" s="191"/>
      <c r="R62" s="189">
        <f t="shared" si="14"/>
        <v>0</v>
      </c>
      <c r="S62" s="189">
        <f>[4]ЦЕНТР!$G$124</f>
        <v>0</v>
      </c>
      <c r="T62" s="191"/>
      <c r="U62" s="189">
        <f t="shared" si="15"/>
        <v>0</v>
      </c>
      <c r="V62" s="189">
        <f>[4]ЦЕНТР!$G$124</f>
        <v>0</v>
      </c>
      <c r="W62" s="191"/>
      <c r="AA62" s="291"/>
      <c r="AB62" s="127"/>
      <c r="AG62" s="286"/>
      <c r="AH62" s="127"/>
      <c r="AJ62" s="288"/>
      <c r="AM62" s="289"/>
      <c r="AP62" s="290"/>
    </row>
    <row r="63" spans="1:44" ht="15.75" x14ac:dyDescent="0.25">
      <c r="A63" s="66">
        <v>51</v>
      </c>
      <c r="B63" s="92" t="s">
        <v>99</v>
      </c>
      <c r="C63" s="189"/>
      <c r="D63" s="189">
        <f>[2]ОПТИМА!$C$124</f>
        <v>0</v>
      </c>
      <c r="E63" s="249"/>
      <c r="F63" s="189"/>
      <c r="G63" s="189">
        <f>[2]ОПТИМА!$O$124</f>
        <v>0</v>
      </c>
      <c r="H63" s="191"/>
      <c r="I63" s="189"/>
      <c r="J63" s="189">
        <f>[2]ОПТИМА!$W$124</f>
        <v>0</v>
      </c>
      <c r="K63" s="191"/>
      <c r="L63" s="189"/>
      <c r="M63" s="189">
        <f>[2]ОПТИМА!$S$124</f>
        <v>1107.42</v>
      </c>
      <c r="N63" s="191"/>
      <c r="O63" s="189"/>
      <c r="P63" s="189">
        <f>[2]ОПТИМА!$AA$124</f>
        <v>-2</v>
      </c>
      <c r="Q63" s="191"/>
      <c r="R63" s="189">
        <f t="shared" si="14"/>
        <v>0</v>
      </c>
      <c r="S63" s="189">
        <f>[2]ОПТИМА!$G$124</f>
        <v>0</v>
      </c>
      <c r="T63" s="191"/>
      <c r="U63" s="189">
        <f t="shared" si="15"/>
        <v>0</v>
      </c>
      <c r="V63" s="189">
        <f>[2]ОПТИМА!$G$124</f>
        <v>0</v>
      </c>
      <c r="W63" s="191"/>
      <c r="AA63" s="291"/>
      <c r="AB63" s="127"/>
      <c r="AG63" s="286"/>
      <c r="AH63" s="127"/>
      <c r="AJ63" s="288"/>
      <c r="AM63" s="289"/>
      <c r="AP63" s="290"/>
    </row>
    <row r="64" spans="1:44" ht="15.75" x14ac:dyDescent="0.25">
      <c r="A64" s="66">
        <v>52</v>
      </c>
      <c r="B64" s="92" t="s">
        <v>103</v>
      </c>
      <c r="C64" s="189"/>
      <c r="D64" s="189">
        <f>[2]зуб!$C$124</f>
        <v>0</v>
      </c>
      <c r="E64" s="249"/>
      <c r="F64" s="189"/>
      <c r="G64" s="189">
        <f>[2]зуб!$O$124</f>
        <v>0</v>
      </c>
      <c r="H64" s="191"/>
      <c r="I64" s="189"/>
      <c r="J64" s="189">
        <f>[2]зуб!$W$124</f>
        <v>0</v>
      </c>
      <c r="K64" s="191"/>
      <c r="L64" s="189"/>
      <c r="M64" s="189">
        <f>[2]зуб!$S$124</f>
        <v>628.15000000000009</v>
      </c>
      <c r="N64" s="191"/>
      <c r="O64" s="189"/>
      <c r="P64" s="189">
        <f>[2]зуб!$AA$124</f>
        <v>68</v>
      </c>
      <c r="Q64" s="191"/>
      <c r="R64" s="189">
        <f t="shared" si="14"/>
        <v>0</v>
      </c>
      <c r="S64" s="189">
        <f>[2]зуб!$G$124</f>
        <v>0</v>
      </c>
      <c r="T64" s="191"/>
      <c r="U64" s="189">
        <f t="shared" si="15"/>
        <v>0</v>
      </c>
      <c r="V64" s="189">
        <f>[2]зуб!$G$124</f>
        <v>0</v>
      </c>
      <c r="W64" s="191"/>
      <c r="AA64" s="291"/>
      <c r="AB64" s="127"/>
      <c r="AG64" s="286"/>
      <c r="AH64" s="127"/>
      <c r="AJ64" s="288"/>
      <c r="AM64" s="289"/>
      <c r="AP64" s="290"/>
    </row>
    <row r="65" spans="1:44" ht="15.75" x14ac:dyDescent="0.25">
      <c r="A65" s="66">
        <v>53</v>
      </c>
      <c r="B65" s="92" t="s">
        <v>268</v>
      </c>
      <c r="C65" s="189"/>
      <c r="D65" s="189">
        <f>[2]ПРОЗР!$C$124</f>
        <v>0</v>
      </c>
      <c r="E65" s="249"/>
      <c r="F65" s="189"/>
      <c r="G65" s="189">
        <f>[2]ПРОЗР!$O$124</f>
        <v>0</v>
      </c>
      <c r="H65" s="191"/>
      <c r="I65" s="189"/>
      <c r="J65" s="189">
        <f>[2]ПРОЗР!$W$124</f>
        <v>0</v>
      </c>
      <c r="K65" s="191"/>
      <c r="L65" s="189"/>
      <c r="M65" s="189">
        <f>[2]ПРОЗР!$S$124</f>
        <v>29</v>
      </c>
      <c r="N65" s="191"/>
      <c r="O65" s="189"/>
      <c r="P65" s="189">
        <f>[2]ПРОЗР!$AA$124</f>
        <v>5</v>
      </c>
      <c r="Q65" s="191"/>
      <c r="R65" s="189">
        <f t="shared" si="14"/>
        <v>0</v>
      </c>
      <c r="S65" s="189">
        <f>[2]ПРОЗР!$G$124</f>
        <v>0</v>
      </c>
      <c r="T65" s="191"/>
      <c r="U65" s="189">
        <f t="shared" si="15"/>
        <v>0</v>
      </c>
      <c r="V65" s="189">
        <f>[2]ПРОЗР!$G$124</f>
        <v>0</v>
      </c>
      <c r="W65" s="191"/>
      <c r="AA65" s="291"/>
      <c r="AB65" s="127"/>
      <c r="AG65" s="286"/>
      <c r="AH65" s="127"/>
      <c r="AJ65" s="288"/>
      <c r="AM65" s="289"/>
      <c r="AP65" s="290"/>
    </row>
    <row r="66" spans="1:44" ht="15.75" x14ac:dyDescent="0.25">
      <c r="A66" s="66">
        <v>54</v>
      </c>
      <c r="B66" s="92" t="s">
        <v>180</v>
      </c>
      <c r="C66" s="189"/>
      <c r="D66" s="189">
        <f>[2]стдв!$C$124</f>
        <v>0</v>
      </c>
      <c r="E66" s="249"/>
      <c r="F66" s="189"/>
      <c r="G66" s="189">
        <f>[2]стдв!$O$124</f>
        <v>0</v>
      </c>
      <c r="H66" s="191"/>
      <c r="I66" s="189"/>
      <c r="J66" s="189">
        <f>[2]стдв!$W$124</f>
        <v>0</v>
      </c>
      <c r="K66" s="191"/>
      <c r="L66" s="189"/>
      <c r="M66" s="189">
        <f>[2]стдв!$S$124</f>
        <v>83.410000000000011</v>
      </c>
      <c r="N66" s="191"/>
      <c r="O66" s="189"/>
      <c r="P66" s="189">
        <f>[2]стдв!$AA$124</f>
        <v>17</v>
      </c>
      <c r="Q66" s="191"/>
      <c r="R66" s="189">
        <f t="shared" si="14"/>
        <v>0</v>
      </c>
      <c r="S66" s="189">
        <f>[2]стдв!$G$124</f>
        <v>0</v>
      </c>
      <c r="T66" s="191"/>
      <c r="U66" s="189">
        <f t="shared" si="15"/>
        <v>0</v>
      </c>
      <c r="V66" s="189">
        <f>[2]стдв!$G$124</f>
        <v>0</v>
      </c>
      <c r="W66" s="191"/>
      <c r="AA66" s="291"/>
      <c r="AB66" s="127"/>
      <c r="AG66" s="286"/>
      <c r="AH66" s="127"/>
      <c r="AJ66" s="288"/>
      <c r="AM66" s="289"/>
      <c r="AP66" s="290"/>
    </row>
    <row r="67" spans="1:44" ht="15.75" x14ac:dyDescent="0.25">
      <c r="A67" s="66">
        <v>55</v>
      </c>
      <c r="B67" s="92" t="s">
        <v>112</v>
      </c>
      <c r="C67" s="189"/>
      <c r="D67" s="189">
        <f>[2]КРИСТ!$C$124</f>
        <v>0</v>
      </c>
      <c r="E67" s="249"/>
      <c r="F67" s="189"/>
      <c r="G67" s="189">
        <f>[2]КРИСТ!$O$124</f>
        <v>0</v>
      </c>
      <c r="H67" s="191"/>
      <c r="I67" s="189"/>
      <c r="J67" s="189">
        <f>[2]КРИСТ!$W$124</f>
        <v>0</v>
      </c>
      <c r="K67" s="191"/>
      <c r="L67" s="189"/>
      <c r="M67" s="189">
        <f>[2]КРИСТ!$S$124</f>
        <v>1938.8899999999999</v>
      </c>
      <c r="N67" s="191"/>
      <c r="O67" s="189"/>
      <c r="P67" s="189">
        <f>[2]КРИСТ!$AA$124</f>
        <v>55</v>
      </c>
      <c r="Q67" s="191"/>
      <c r="R67" s="189">
        <f t="shared" si="14"/>
        <v>0</v>
      </c>
      <c r="S67" s="189">
        <f>[2]КРИСТ!$G$124</f>
        <v>0</v>
      </c>
      <c r="T67" s="191"/>
      <c r="U67" s="189">
        <f t="shared" si="15"/>
        <v>0</v>
      </c>
      <c r="V67" s="189">
        <f>[2]КРИСТ!$G$124</f>
        <v>0</v>
      </c>
      <c r="W67" s="191"/>
      <c r="AA67" s="291"/>
      <c r="AB67" s="127"/>
      <c r="AG67" s="286"/>
      <c r="AH67" s="127"/>
      <c r="AJ67" s="288"/>
      <c r="AM67" s="289"/>
      <c r="AP67" s="290"/>
    </row>
    <row r="68" spans="1:44" ht="15.75" x14ac:dyDescent="0.25">
      <c r="A68" s="66">
        <v>56</v>
      </c>
      <c r="B68" s="67" t="s">
        <v>134</v>
      </c>
      <c r="C68" s="189"/>
      <c r="D68" s="189">
        <f>[2]чародей!$C$124</f>
        <v>0</v>
      </c>
      <c r="E68" s="249"/>
      <c r="F68" s="189"/>
      <c r="G68" s="189">
        <f>[2]чародей!$O$124</f>
        <v>0</v>
      </c>
      <c r="H68" s="191"/>
      <c r="I68" s="189"/>
      <c r="J68" s="189">
        <f>[2]чародей!$W$124</f>
        <v>0</v>
      </c>
      <c r="K68" s="191"/>
      <c r="L68" s="189"/>
      <c r="M68" s="189">
        <f>[2]чародей!$S$124</f>
        <v>589.53</v>
      </c>
      <c r="N68" s="191"/>
      <c r="O68" s="189"/>
      <c r="P68" s="189">
        <f>[2]чародей!$AA$124</f>
        <v>7</v>
      </c>
      <c r="Q68" s="191"/>
      <c r="R68" s="189">
        <f t="shared" si="14"/>
        <v>0</v>
      </c>
      <c r="S68" s="189">
        <f>[2]чародей!$G$124</f>
        <v>0</v>
      </c>
      <c r="T68" s="191"/>
      <c r="U68" s="189">
        <f t="shared" si="15"/>
        <v>0</v>
      </c>
      <c r="V68" s="189">
        <f>[2]чародей!$G$124</f>
        <v>0</v>
      </c>
      <c r="W68" s="191"/>
      <c r="AA68" s="291"/>
      <c r="AB68" s="127"/>
      <c r="AG68" s="286"/>
      <c r="AH68" s="127"/>
      <c r="AJ68" s="288"/>
      <c r="AM68" s="289"/>
      <c r="AP68" s="290"/>
    </row>
    <row r="69" spans="1:44" ht="15.75" x14ac:dyDescent="0.25">
      <c r="A69" s="66">
        <v>57</v>
      </c>
      <c r="B69" s="67" t="s">
        <v>135</v>
      </c>
      <c r="C69" s="189"/>
      <c r="D69" s="189">
        <f>[2]эстетика!$C$124</f>
        <v>0</v>
      </c>
      <c r="E69" s="249"/>
      <c r="F69" s="189"/>
      <c r="G69" s="189">
        <f>[2]эстетика!$O$124</f>
        <v>0</v>
      </c>
      <c r="H69" s="191"/>
      <c r="I69" s="189"/>
      <c r="J69" s="189">
        <f>[2]эстетика!$W$124</f>
        <v>0</v>
      </c>
      <c r="K69" s="191"/>
      <c r="L69" s="189"/>
      <c r="M69" s="189">
        <f>[2]эстетика!$S$124</f>
        <v>438.26</v>
      </c>
      <c r="N69" s="191"/>
      <c r="O69" s="189"/>
      <c r="P69" s="189">
        <f>[2]эстетика!$AA$124</f>
        <v>11</v>
      </c>
      <c r="Q69" s="191"/>
      <c r="R69" s="189">
        <f t="shared" si="14"/>
        <v>0</v>
      </c>
      <c r="S69" s="189">
        <f>[2]эстетика!$G$124</f>
        <v>0</v>
      </c>
      <c r="T69" s="191"/>
      <c r="U69" s="189">
        <f t="shared" si="15"/>
        <v>0</v>
      </c>
      <c r="V69" s="189">
        <f>[2]эстетика!$G$124</f>
        <v>0</v>
      </c>
      <c r="W69" s="191"/>
      <c r="AA69" s="291"/>
      <c r="AB69" s="127"/>
      <c r="AG69" s="286"/>
      <c r="AH69" s="127"/>
      <c r="AJ69" s="288"/>
      <c r="AM69" s="289"/>
      <c r="AP69" s="290"/>
    </row>
    <row r="70" spans="1:44" ht="15.75" x14ac:dyDescent="0.25">
      <c r="A70" s="66">
        <v>58</v>
      </c>
      <c r="B70" s="67" t="s">
        <v>179</v>
      </c>
      <c r="C70" s="189"/>
      <c r="D70" s="189">
        <f>[3]АЗИМУТ!$C$124</f>
        <v>0</v>
      </c>
      <c r="E70" s="249"/>
      <c r="F70" s="189"/>
      <c r="G70" s="189">
        <f>[3]АЗИМУТ!$O$124</f>
        <v>0</v>
      </c>
      <c r="H70" s="191"/>
      <c r="I70" s="189"/>
      <c r="J70" s="189">
        <f>[3]АЗИМУТ!$W$124</f>
        <v>0</v>
      </c>
      <c r="K70" s="191"/>
      <c r="L70" s="189"/>
      <c r="M70" s="189">
        <f>[3]АЗИМУТ!$S$124</f>
        <v>0</v>
      </c>
      <c r="N70" s="191"/>
      <c r="O70" s="189"/>
      <c r="P70" s="189">
        <f>[3]АЗИМУТ!$AA$124</f>
        <v>0</v>
      </c>
      <c r="Q70" s="191"/>
      <c r="R70" s="189">
        <f t="shared" si="14"/>
        <v>0</v>
      </c>
      <c r="S70" s="189">
        <f>[3]АЗИМУТ!$G$124</f>
        <v>0</v>
      </c>
      <c r="T70" s="191"/>
      <c r="U70" s="189">
        <f t="shared" si="15"/>
        <v>0</v>
      </c>
      <c r="V70" s="189">
        <f>[3]АЗИМУТ!$G$124</f>
        <v>0</v>
      </c>
      <c r="W70" s="191"/>
      <c r="AA70" s="291"/>
      <c r="AB70" s="127"/>
      <c r="AG70" s="286"/>
      <c r="AH70" s="127"/>
      <c r="AJ70" s="288"/>
      <c r="AM70" s="289"/>
      <c r="AP70" s="290"/>
    </row>
    <row r="71" spans="1:44" ht="15.75" x14ac:dyDescent="0.25">
      <c r="A71" s="67">
        <v>59</v>
      </c>
      <c r="B71" s="67" t="s">
        <v>216</v>
      </c>
      <c r="C71" s="189"/>
      <c r="D71" s="189">
        <f>[3]БОБ!$C$124</f>
        <v>0</v>
      </c>
      <c r="E71" s="249"/>
      <c r="F71" s="189"/>
      <c r="G71" s="189">
        <f>[3]БОБ!$O$124</f>
        <v>512</v>
      </c>
      <c r="H71" s="191"/>
      <c r="I71" s="189"/>
      <c r="J71" s="189">
        <f>[3]БОБ!$W$124</f>
        <v>0</v>
      </c>
      <c r="K71" s="191"/>
      <c r="L71" s="189"/>
      <c r="M71" s="189">
        <f>[3]БОБ!$S$124</f>
        <v>3434.7599999999998</v>
      </c>
      <c r="N71" s="191"/>
      <c r="O71" s="189"/>
      <c r="P71" s="189">
        <f>[3]БОБ!$AA$124</f>
        <v>729</v>
      </c>
      <c r="Q71" s="191"/>
      <c r="R71" s="189">
        <f t="shared" si="14"/>
        <v>0</v>
      </c>
      <c r="S71" s="189">
        <f>[3]БОБ!$G$124</f>
        <v>0</v>
      </c>
      <c r="T71" s="191"/>
      <c r="U71" s="189">
        <f t="shared" si="15"/>
        <v>0</v>
      </c>
      <c r="V71" s="189">
        <f>[3]БОБ!$G$124</f>
        <v>0</v>
      </c>
      <c r="W71" s="191"/>
      <c r="AA71" s="291"/>
      <c r="AB71" s="127"/>
      <c r="AG71" s="286"/>
      <c r="AH71" s="127"/>
      <c r="AJ71" s="288"/>
      <c r="AM71" s="289"/>
      <c r="AP71" s="290"/>
    </row>
    <row r="72" spans="1:44" ht="15.75" x14ac:dyDescent="0.25">
      <c r="A72" s="67">
        <v>60</v>
      </c>
      <c r="B72" s="67" t="s">
        <v>217</v>
      </c>
      <c r="C72" s="189"/>
      <c r="D72" s="189">
        <f>[3]УзШ!$C$124</f>
        <v>0</v>
      </c>
      <c r="E72" s="249"/>
      <c r="F72" s="189"/>
      <c r="G72" s="189">
        <f>[3]УзШ!$O$124</f>
        <v>152</v>
      </c>
      <c r="H72" s="191"/>
      <c r="I72" s="189"/>
      <c r="J72" s="189">
        <f>[3]УзШ!$W$124</f>
        <v>0</v>
      </c>
      <c r="K72" s="191"/>
      <c r="L72" s="189"/>
      <c r="M72" s="189">
        <f>[3]УзШ!$S$124</f>
        <v>1973.85</v>
      </c>
      <c r="N72" s="191"/>
      <c r="O72" s="189"/>
      <c r="P72" s="189">
        <f>[3]УзШ!$AA$124</f>
        <v>303.24</v>
      </c>
      <c r="Q72" s="191"/>
      <c r="R72" s="189">
        <f t="shared" si="14"/>
        <v>0</v>
      </c>
      <c r="S72" s="189">
        <f>[3]УзШ!$G$124</f>
        <v>0</v>
      </c>
      <c r="T72" s="191"/>
      <c r="U72" s="189">
        <f t="shared" si="15"/>
        <v>0</v>
      </c>
      <c r="V72" s="189">
        <f>[3]УзШ!$G$124</f>
        <v>0</v>
      </c>
      <c r="W72" s="191"/>
      <c r="AA72" s="291"/>
      <c r="AB72" s="127"/>
      <c r="AG72" s="286"/>
      <c r="AH72" s="127"/>
      <c r="AJ72" s="288"/>
      <c r="AM72" s="289"/>
      <c r="AP72" s="290"/>
    </row>
    <row r="73" spans="1:44" ht="15.75" x14ac:dyDescent="0.25">
      <c r="A73" s="67">
        <v>61</v>
      </c>
      <c r="B73" s="67" t="s">
        <v>215</v>
      </c>
      <c r="C73" s="189"/>
      <c r="D73" s="189">
        <f>[2]НЭС!$C$124</f>
        <v>11</v>
      </c>
      <c r="E73" s="249"/>
      <c r="F73" s="189"/>
      <c r="G73" s="189">
        <f>[2]НЭС!$O$124</f>
        <v>0</v>
      </c>
      <c r="H73" s="191"/>
      <c r="I73" s="189"/>
      <c r="J73" s="189">
        <f>[2]НЭС!$W$124</f>
        <v>0</v>
      </c>
      <c r="K73" s="191"/>
      <c r="L73" s="189"/>
      <c r="M73" s="189">
        <f>[2]НЭС!$S$124</f>
        <v>28</v>
      </c>
      <c r="N73" s="191"/>
      <c r="O73" s="189"/>
      <c r="P73" s="189">
        <f>[2]НЭС!$AA$124</f>
        <v>0</v>
      </c>
      <c r="Q73" s="191"/>
      <c r="R73" s="189">
        <f t="shared" si="14"/>
        <v>0</v>
      </c>
      <c r="S73" s="189">
        <f>[2]КРИСТ!$G$124</f>
        <v>0</v>
      </c>
      <c r="T73" s="191"/>
      <c r="U73" s="189">
        <f t="shared" si="15"/>
        <v>0</v>
      </c>
      <c r="V73" s="189">
        <f>[2]НЭС!$K$124</f>
        <v>73</v>
      </c>
      <c r="W73" s="191"/>
      <c r="AA73" s="291"/>
      <c r="AB73" s="127"/>
      <c r="AG73" s="286">
        <v>5000</v>
      </c>
      <c r="AH73" s="127"/>
      <c r="AJ73" s="288"/>
      <c r="AM73" s="289"/>
      <c r="AP73" s="290"/>
    </row>
    <row r="74" spans="1:44" ht="15" x14ac:dyDescent="0.25">
      <c r="A74" s="1"/>
      <c r="B74" s="94" t="s">
        <v>136</v>
      </c>
      <c r="C74" s="194">
        <f>C6+C16+C26+C34+C42+C50+C58</f>
        <v>0</v>
      </c>
      <c r="D74" s="194">
        <f>D6+D16+D26+D34+D42+D49+D57</f>
        <v>26256</v>
      </c>
      <c r="E74" s="187"/>
      <c r="F74" s="194">
        <f>F6+F16+F26+F34+F42+F50+F58</f>
        <v>0</v>
      </c>
      <c r="G74" s="194">
        <f>G6+G16+G26+G34+G42+G49+G57</f>
        <v>5155</v>
      </c>
      <c r="H74" s="193"/>
      <c r="I74" s="194">
        <f>I6+I16+I26+I34+I42+I50+I58</f>
        <v>0</v>
      </c>
      <c r="J74" s="194">
        <f>J6+J16+J26+J34+J42+J49+J57</f>
        <v>1982</v>
      </c>
      <c r="K74" s="196"/>
      <c r="L74" s="194">
        <f>L6+L16+L26+L34+L42+L50+L58</f>
        <v>0</v>
      </c>
      <c r="M74" s="194">
        <f>M6+M16+M26+M34+M42+M49+M57</f>
        <v>59828.001000000004</v>
      </c>
      <c r="N74" s="196"/>
      <c r="O74" s="194">
        <f>O6+O16+O26+O34+O42+O50+O58</f>
        <v>0</v>
      </c>
      <c r="P74" s="194">
        <f>P6+P16+P26+P34+P42+P49+P57</f>
        <v>14845.85</v>
      </c>
      <c r="Q74" s="196"/>
      <c r="R74" s="194">
        <f>R6+R16+R26+R34+R42+R50+R58</f>
        <v>0</v>
      </c>
      <c r="S74" s="194">
        <f>S6+S16+S26+S34+S42+S49+S57</f>
        <v>1654</v>
      </c>
      <c r="T74" s="196"/>
      <c r="U74" s="194">
        <f>U6+U16+U26+U34+U42+U50+U58</f>
        <v>0</v>
      </c>
      <c r="V74" s="194">
        <f>V6+V16+V26+V34+V42+V49+V57</f>
        <v>86</v>
      </c>
      <c r="W74" s="196"/>
      <c r="X74" s="194">
        <f>X57+X49+X42+X34+X26+X16+X6</f>
        <v>317393</v>
      </c>
      <c r="Y74" s="194">
        <f t="shared" ref="Y74:AR74" si="16">Y57+Y49+Y42+Y34+Y26+Y16+Y6</f>
        <v>0</v>
      </c>
      <c r="Z74" s="194">
        <f t="shared" si="16"/>
        <v>0</v>
      </c>
      <c r="AA74" s="194">
        <f t="shared" si="16"/>
        <v>75502</v>
      </c>
      <c r="AB74" s="194">
        <f t="shared" si="16"/>
        <v>0</v>
      </c>
      <c r="AC74" s="194">
        <f t="shared" si="16"/>
        <v>0</v>
      </c>
      <c r="AD74" s="194">
        <f t="shared" si="16"/>
        <v>161818</v>
      </c>
      <c r="AE74" s="194">
        <f t="shared" si="16"/>
        <v>0</v>
      </c>
      <c r="AF74" s="194">
        <f t="shared" si="16"/>
        <v>0</v>
      </c>
      <c r="AG74" s="194">
        <f t="shared" si="16"/>
        <v>1595329</v>
      </c>
      <c r="AH74" s="194">
        <f t="shared" si="16"/>
        <v>0</v>
      </c>
      <c r="AI74" s="194">
        <f t="shared" si="16"/>
        <v>0</v>
      </c>
      <c r="AJ74" s="194">
        <f t="shared" si="16"/>
        <v>265239</v>
      </c>
      <c r="AK74" s="194">
        <f t="shared" si="16"/>
        <v>0</v>
      </c>
      <c r="AL74" s="194">
        <f t="shared" si="16"/>
        <v>0</v>
      </c>
      <c r="AM74" s="194">
        <f t="shared" si="16"/>
        <v>166934</v>
      </c>
      <c r="AN74" s="194">
        <f t="shared" si="16"/>
        <v>0</v>
      </c>
      <c r="AO74" s="194">
        <f t="shared" si="16"/>
        <v>0</v>
      </c>
      <c r="AP74" s="194">
        <f t="shared" si="16"/>
        <v>0</v>
      </c>
      <c r="AQ74" s="194">
        <f t="shared" si="16"/>
        <v>0</v>
      </c>
      <c r="AR74" s="194">
        <f t="shared" si="16"/>
        <v>0</v>
      </c>
    </row>
  </sheetData>
  <mergeCells count="19">
    <mergeCell ref="S2:V2"/>
    <mergeCell ref="R3:T3"/>
    <mergeCell ref="U3:W3"/>
    <mergeCell ref="A4:B4"/>
    <mergeCell ref="A6:B6"/>
    <mergeCell ref="C3:E3"/>
    <mergeCell ref="F3:H3"/>
    <mergeCell ref="I3:K3"/>
    <mergeCell ref="L3:N3"/>
    <mergeCell ref="A34:B34"/>
    <mergeCell ref="A42:B42"/>
    <mergeCell ref="O3:Q3"/>
    <mergeCell ref="A16:B16"/>
    <mergeCell ref="A26:B26"/>
    <mergeCell ref="B1:W1"/>
    <mergeCell ref="C2:F2"/>
    <mergeCell ref="G2:J2"/>
    <mergeCell ref="K2:N2"/>
    <mergeCell ref="O2:R2"/>
  </mergeCells>
  <phoneticPr fontId="34" type="noConversion"/>
  <pageMargins left="0" right="0" top="0" bottom="0" header="0" footer="0"/>
  <pageSetup paperSize="9" scale="50" orientation="landscape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0"/>
  <sheetViews>
    <sheetView workbookViewId="0">
      <pane xSplit="2" ySplit="5" topLeftCell="V6" activePane="bottomRight" state="frozen"/>
      <selection activeCell="AO17" sqref="AO17"/>
      <selection pane="topRight" activeCell="AO17" sqref="AO17"/>
      <selection pane="bottomLeft" activeCell="AO17" sqref="AO17"/>
      <selection pane="bottomRight" activeCell="C34" sqref="C34:W34"/>
    </sheetView>
  </sheetViews>
  <sheetFormatPr defaultRowHeight="12.75" x14ac:dyDescent="0.2"/>
  <cols>
    <col min="1" max="1" width="4.42578125" customWidth="1"/>
    <col min="2" max="2" width="78.5703125" customWidth="1"/>
    <col min="3" max="3" width="12.28515625" hidden="1" customWidth="1"/>
    <col min="4" max="4" width="13" hidden="1" customWidth="1"/>
    <col min="5" max="5" width="11.7109375" hidden="1" customWidth="1"/>
    <col min="6" max="7" width="13" hidden="1" customWidth="1"/>
    <col min="8" max="8" width="12.28515625" hidden="1" customWidth="1"/>
    <col min="9" max="9" width="13.85546875" hidden="1" customWidth="1"/>
    <col min="10" max="10" width="14.140625" hidden="1" customWidth="1"/>
    <col min="11" max="11" width="12.28515625" hidden="1" customWidth="1"/>
    <col min="12" max="12" width="17.140625" hidden="1" customWidth="1"/>
    <col min="13" max="13" width="15.28515625" hidden="1" customWidth="1"/>
    <col min="14" max="14" width="9.5703125" hidden="1" customWidth="1"/>
    <col min="15" max="15" width="12.28515625" hidden="1" customWidth="1"/>
    <col min="16" max="16" width="13" hidden="1" customWidth="1"/>
    <col min="17" max="17" width="9.5703125" hidden="1" customWidth="1"/>
    <col min="18" max="19" width="11.140625" hidden="1" customWidth="1"/>
    <col min="20" max="20" width="9" hidden="1" customWidth="1"/>
    <col min="21" max="22" width="10" hidden="1" customWidth="1"/>
    <col min="23" max="23" width="9.7109375" hidden="1" customWidth="1"/>
    <col min="24" max="24" width="13.5703125" hidden="1" customWidth="1"/>
    <col min="25" max="25" width="15.5703125" customWidth="1"/>
    <col min="26" max="26" width="13.5703125" hidden="1" customWidth="1"/>
    <col min="27" max="27" width="17.140625" hidden="1" customWidth="1"/>
    <col min="28" max="28" width="18.7109375" customWidth="1"/>
    <col min="29" max="29" width="17.140625" hidden="1" customWidth="1"/>
    <col min="30" max="30" width="19.5703125" hidden="1" customWidth="1"/>
    <col min="31" max="31" width="16.85546875" customWidth="1"/>
    <col min="32" max="32" width="19.5703125" hidden="1" customWidth="1"/>
    <col min="33" max="33" width="14.28515625" hidden="1" customWidth="1"/>
    <col min="34" max="34" width="22.7109375" customWidth="1"/>
    <col min="35" max="35" width="14.28515625" hidden="1" customWidth="1"/>
    <col min="36" max="36" width="15.42578125" hidden="1" customWidth="1"/>
    <col min="37" max="37" width="17.28515625" customWidth="1"/>
    <col min="38" max="38" width="15.42578125" hidden="1" customWidth="1"/>
    <col min="39" max="39" width="11.85546875" hidden="1" customWidth="1"/>
    <col min="40" max="40" width="14.28515625" customWidth="1"/>
    <col min="41" max="41" width="16.85546875" hidden="1" customWidth="1"/>
    <col min="42" max="42" width="16" hidden="1" customWidth="1"/>
    <col min="43" max="43" width="14.7109375" customWidth="1"/>
    <col min="44" max="44" width="10.140625" hidden="1" customWidth="1"/>
  </cols>
  <sheetData>
    <row r="1" spans="1:44" ht="15" customHeight="1" x14ac:dyDescent="0.3">
      <c r="A1" s="408" t="s">
        <v>261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</row>
    <row r="2" spans="1:44" ht="15" customHeight="1" thickBot="1" x14ac:dyDescent="0.3">
      <c r="A2" s="382" t="s">
        <v>97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</row>
    <row r="3" spans="1:44" ht="15" customHeight="1" thickBot="1" x14ac:dyDescent="0.35">
      <c r="A3" s="34"/>
      <c r="B3" s="35"/>
      <c r="C3" s="384" t="s">
        <v>0</v>
      </c>
      <c r="D3" s="385"/>
      <c r="E3" s="386"/>
      <c r="F3" s="384" t="s">
        <v>1</v>
      </c>
      <c r="G3" s="385"/>
      <c r="H3" s="385"/>
      <c r="I3" s="379" t="s">
        <v>184</v>
      </c>
      <c r="J3" s="380"/>
      <c r="K3" s="381"/>
      <c r="L3" s="379" t="s">
        <v>101</v>
      </c>
      <c r="M3" s="380"/>
      <c r="N3" s="381"/>
      <c r="O3" s="379" t="s">
        <v>185</v>
      </c>
      <c r="P3" s="380"/>
      <c r="Q3" s="381"/>
      <c r="R3" s="379" t="s">
        <v>172</v>
      </c>
      <c r="S3" s="380"/>
      <c r="T3" s="381"/>
      <c r="U3" s="379" t="s">
        <v>173</v>
      </c>
      <c r="V3" s="380"/>
      <c r="W3" s="381"/>
      <c r="X3" s="387" t="s">
        <v>175</v>
      </c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269"/>
    </row>
    <row r="4" spans="1:44" ht="15" customHeight="1" x14ac:dyDescent="0.25">
      <c r="A4" s="393" t="s">
        <v>41</v>
      </c>
      <c r="B4" s="394"/>
      <c r="C4" s="36" t="s">
        <v>40</v>
      </c>
      <c r="D4" s="37" t="s">
        <v>42</v>
      </c>
      <c r="E4" s="43" t="s">
        <v>39</v>
      </c>
      <c r="F4" s="37" t="s">
        <v>40</v>
      </c>
      <c r="G4" s="37" t="s">
        <v>42</v>
      </c>
      <c r="H4" s="38" t="s">
        <v>39</v>
      </c>
      <c r="I4" s="218" t="s">
        <v>40</v>
      </c>
      <c r="J4" s="37" t="s">
        <v>42</v>
      </c>
      <c r="K4" s="219" t="s">
        <v>39</v>
      </c>
      <c r="L4" s="218" t="s">
        <v>40</v>
      </c>
      <c r="M4" s="37" t="s">
        <v>42</v>
      </c>
      <c r="N4" s="219" t="s">
        <v>39</v>
      </c>
      <c r="O4" s="218" t="s">
        <v>40</v>
      </c>
      <c r="P4" s="37" t="s">
        <v>42</v>
      </c>
      <c r="Q4" s="219" t="s">
        <v>39</v>
      </c>
      <c r="R4" s="218" t="s">
        <v>40</v>
      </c>
      <c r="S4" s="37" t="s">
        <v>42</v>
      </c>
      <c r="T4" s="219" t="s">
        <v>39</v>
      </c>
      <c r="U4" s="218" t="s">
        <v>40</v>
      </c>
      <c r="V4" s="37" t="s">
        <v>42</v>
      </c>
      <c r="W4" s="219" t="s">
        <v>39</v>
      </c>
      <c r="X4" s="44" t="s">
        <v>20</v>
      </c>
      <c r="Y4" s="44" t="s">
        <v>189</v>
      </c>
      <c r="Z4" s="44"/>
      <c r="AA4" s="45" t="s">
        <v>49</v>
      </c>
      <c r="AB4" s="220" t="s">
        <v>190</v>
      </c>
      <c r="AC4" s="220"/>
      <c r="AD4" s="405" t="s">
        <v>263</v>
      </c>
      <c r="AE4" s="406"/>
      <c r="AF4" s="406"/>
      <c r="AG4" s="406"/>
      <c r="AH4" s="406"/>
      <c r="AI4" s="406"/>
      <c r="AJ4" s="406"/>
      <c r="AK4" s="406"/>
      <c r="AL4" s="407"/>
      <c r="AM4" s="45" t="s">
        <v>172</v>
      </c>
      <c r="AN4" s="45" t="s">
        <v>188</v>
      </c>
      <c r="AO4" s="45"/>
      <c r="AP4" s="220" t="s">
        <v>173</v>
      </c>
      <c r="AQ4" s="270" t="s">
        <v>173</v>
      </c>
      <c r="AR4" s="6"/>
    </row>
    <row r="5" spans="1:44" ht="15" customHeight="1" thickBot="1" x14ac:dyDescent="0.3">
      <c r="A5" s="47"/>
      <c r="B5" s="48"/>
      <c r="C5" s="49" t="s">
        <v>50</v>
      </c>
      <c r="D5" s="49" t="s">
        <v>50</v>
      </c>
      <c r="E5" s="53"/>
      <c r="F5" s="49" t="s">
        <v>50</v>
      </c>
      <c r="G5" s="51" t="s">
        <v>50</v>
      </c>
      <c r="H5" s="50"/>
      <c r="I5" s="49" t="s">
        <v>53</v>
      </c>
      <c r="J5" s="51" t="s">
        <v>53</v>
      </c>
      <c r="K5" s="54"/>
      <c r="L5" s="49" t="s">
        <v>53</v>
      </c>
      <c r="M5" s="51" t="s">
        <v>53</v>
      </c>
      <c r="N5" s="54"/>
      <c r="O5" s="49" t="s">
        <v>53</v>
      </c>
      <c r="P5" s="51" t="s">
        <v>53</v>
      </c>
      <c r="Q5" s="54"/>
      <c r="R5" s="49" t="s">
        <v>53</v>
      </c>
      <c r="S5" s="51" t="s">
        <v>53</v>
      </c>
      <c r="T5" s="54"/>
      <c r="U5" s="49" t="s">
        <v>53</v>
      </c>
      <c r="V5" s="51" t="s">
        <v>53</v>
      </c>
      <c r="W5" s="54"/>
      <c r="X5" s="231" t="s">
        <v>50</v>
      </c>
      <c r="Y5" s="231" t="s">
        <v>186</v>
      </c>
      <c r="Z5" s="231" t="s">
        <v>39</v>
      </c>
      <c r="AA5" s="215" t="s">
        <v>50</v>
      </c>
      <c r="AB5" s="215" t="s">
        <v>186</v>
      </c>
      <c r="AC5" s="215" t="s">
        <v>39</v>
      </c>
      <c r="AD5" s="232" t="s">
        <v>195</v>
      </c>
      <c r="AE5" s="232" t="s">
        <v>186</v>
      </c>
      <c r="AF5" s="232" t="s">
        <v>39</v>
      </c>
      <c r="AG5" s="232" t="s">
        <v>259</v>
      </c>
      <c r="AH5" s="232" t="s">
        <v>26</v>
      </c>
      <c r="AI5" s="232" t="s">
        <v>39</v>
      </c>
      <c r="AJ5" s="232" t="s">
        <v>185</v>
      </c>
      <c r="AK5" s="232" t="s">
        <v>26</v>
      </c>
      <c r="AL5" s="232" t="s">
        <v>39</v>
      </c>
      <c r="AM5" s="232" t="s">
        <v>195</v>
      </c>
      <c r="AN5" s="232" t="s">
        <v>26</v>
      </c>
      <c r="AO5" s="232" t="s">
        <v>39</v>
      </c>
      <c r="AP5" s="252" t="s">
        <v>183</v>
      </c>
      <c r="AQ5" s="271" t="s">
        <v>26</v>
      </c>
      <c r="AR5" s="253" t="s">
        <v>39</v>
      </c>
    </row>
    <row r="6" spans="1:44" ht="15" customHeight="1" x14ac:dyDescent="0.25">
      <c r="A6" s="403" t="s">
        <v>124</v>
      </c>
      <c r="B6" s="404"/>
      <c r="C6" s="186">
        <f>SUM(C7:C15)</f>
        <v>94388.25</v>
      </c>
      <c r="D6" s="186">
        <f>SUM(D7:D15)</f>
        <v>89906</v>
      </c>
      <c r="E6" s="187">
        <f>ROUND(D6/C6*100,1)</f>
        <v>95.3</v>
      </c>
      <c r="F6" s="186">
        <f>SUM(F7:F15)</f>
        <v>24213.75</v>
      </c>
      <c r="G6" s="186">
        <f>SUM(G7:G15)</f>
        <v>20875</v>
      </c>
      <c r="H6" s="188">
        <f t="shared" ref="H6:H12" si="0">ROUND(G6/F6*100,1)</f>
        <v>86.2</v>
      </c>
      <c r="I6" s="186">
        <f>SUM(I7:I15)</f>
        <v>1003.75</v>
      </c>
      <c r="J6" s="186">
        <f>SUM(J7:J15)</f>
        <v>543</v>
      </c>
      <c r="K6" s="188">
        <f>ROUND(J6/I6*100,1)</f>
        <v>54.1</v>
      </c>
      <c r="L6" s="186">
        <f>SUM(L7:L15)</f>
        <v>159712.66666666663</v>
      </c>
      <c r="M6" s="186">
        <f>SUM(M7:M15)</f>
        <v>160044.72</v>
      </c>
      <c r="N6" s="188">
        <f t="shared" ref="N6:N12" si="1">ROUND(M6/L6*100,1)</f>
        <v>100.2</v>
      </c>
      <c r="O6" s="186">
        <f>SUM(O7:O15)</f>
        <v>24952.583333333332</v>
      </c>
      <c r="P6" s="186">
        <f>SUM(P7:P15)</f>
        <v>14823</v>
      </c>
      <c r="Q6" s="188">
        <f>ROUND(P6/O6*100,1)</f>
        <v>59.4</v>
      </c>
      <c r="R6" s="186">
        <f>SUM(R7:R15)</f>
        <v>0</v>
      </c>
      <c r="S6" s="186">
        <f>SUM(S7:S15)</f>
        <v>0</v>
      </c>
      <c r="T6" s="188" t="e">
        <f>ROUND(S6/R6*100,1)</f>
        <v>#DIV/0!</v>
      </c>
      <c r="U6" s="186">
        <f>SUM(U7:U15)</f>
        <v>0</v>
      </c>
      <c r="V6" s="186">
        <f>SUM(V7:V15)</f>
        <v>0</v>
      </c>
      <c r="W6" s="188"/>
      <c r="X6" s="186">
        <f t="shared" ref="X6:AE6" si="2">SUM(X7:X15)</f>
        <v>398000</v>
      </c>
      <c r="Y6" s="303">
        <f t="shared" si="2"/>
        <v>102969</v>
      </c>
      <c r="Z6" s="303">
        <f t="shared" si="2"/>
        <v>120.76</v>
      </c>
      <c r="AA6" s="303">
        <f t="shared" si="2"/>
        <v>78285</v>
      </c>
      <c r="AB6" s="303">
        <f t="shared" si="2"/>
        <v>26415</v>
      </c>
      <c r="AC6" s="303">
        <f t="shared" si="2"/>
        <v>134.85999999999999</v>
      </c>
      <c r="AD6" s="303">
        <f t="shared" si="2"/>
        <v>9297</v>
      </c>
      <c r="AE6" s="303">
        <f t="shared" si="2"/>
        <v>1095</v>
      </c>
      <c r="AF6" s="304"/>
      <c r="AG6" s="305">
        <f>SUM(AG7:AG15)</f>
        <v>507648</v>
      </c>
      <c r="AH6" s="300">
        <f>SUM(AH7:AH15)</f>
        <v>174232</v>
      </c>
      <c r="AI6" s="306">
        <f>VALUE(AH6/AG6*100)</f>
        <v>34.321419566313665</v>
      </c>
      <c r="AJ6" s="300">
        <f>SUM(AJ7:AJ15)</f>
        <v>115578</v>
      </c>
      <c r="AK6" s="305">
        <f>SUM(AK7:AK15)</f>
        <v>27221</v>
      </c>
      <c r="AL6" s="307">
        <f>VALUE(AK6/AJ6*100)</f>
        <v>23.552060080638185</v>
      </c>
      <c r="AM6" s="300">
        <f>SUM(AM7:AM15)</f>
        <v>0</v>
      </c>
      <c r="AN6" s="300">
        <f>SUM(AN7:AN15)</f>
        <v>0</v>
      </c>
      <c r="AO6" s="306"/>
      <c r="AP6" s="300">
        <f>SUM(AP7:AP15)</f>
        <v>0</v>
      </c>
      <c r="AQ6" s="300">
        <f>SUM(AQ7:AQ15)</f>
        <v>0</v>
      </c>
      <c r="AR6" s="238"/>
    </row>
    <row r="7" spans="1:44" ht="15" customHeight="1" x14ac:dyDescent="0.2">
      <c r="A7" s="66">
        <v>1</v>
      </c>
      <c r="B7" s="141" t="s">
        <v>224</v>
      </c>
      <c r="C7" s="189">
        <f>Y7/12*11</f>
        <v>51943.833333333336</v>
      </c>
      <c r="D7" s="189">
        <f>[3]ОБЛАСТ!$C$128</f>
        <v>50535</v>
      </c>
      <c r="E7" s="190">
        <f>D7/C7*100</f>
        <v>97.287775578108409</v>
      </c>
      <c r="F7" s="189">
        <f>AB7/12*11</f>
        <v>0</v>
      </c>
      <c r="G7" s="189">
        <f>[3]ОБЛАСТ!$O$128</f>
        <v>0</v>
      </c>
      <c r="H7" s="191"/>
      <c r="I7" s="189">
        <f>AE7/12*11</f>
        <v>0</v>
      </c>
      <c r="J7" s="189">
        <f>[3]ОБЛАСТ!$W$128</f>
        <v>0</v>
      </c>
      <c r="K7" s="191"/>
      <c r="L7" s="189">
        <f t="shared" ref="L7:L15" si="3">AH7/12*11</f>
        <v>27182.833333333332</v>
      </c>
      <c r="M7" s="189">
        <f>[3]ОБЛАСТ!$S$128</f>
        <v>25699.699999999997</v>
      </c>
      <c r="N7" s="191">
        <f t="shared" si="1"/>
        <v>94.5</v>
      </c>
      <c r="O7" s="189">
        <f>AK7/12*11</f>
        <v>0</v>
      </c>
      <c r="P7" s="189">
        <f>[3]ОБЛАСТ!$AA$128</f>
        <v>0</v>
      </c>
      <c r="Q7" s="191"/>
      <c r="R7" s="189">
        <f>AN7/12*11</f>
        <v>0</v>
      </c>
      <c r="S7" s="189">
        <f>[3]ОБЛАСТ!$G$128</f>
        <v>0</v>
      </c>
      <c r="T7" s="191"/>
      <c r="U7" s="189">
        <f>AQ7/12*11</f>
        <v>0</v>
      </c>
      <c r="V7" s="189">
        <f>[3]ОБЛАСТ!$K$128</f>
        <v>0</v>
      </c>
      <c r="W7" s="191"/>
      <c r="X7" s="130">
        <v>194000</v>
      </c>
      <c r="Y7" s="299">
        <v>56666</v>
      </c>
      <c r="Z7" s="308">
        <v>26.03</v>
      </c>
      <c r="AA7" s="309"/>
      <c r="AB7" s="299">
        <f>ROUND(AA7*AC7/100,0)</f>
        <v>0</v>
      </c>
      <c r="AC7" s="299"/>
      <c r="AD7" s="310"/>
      <c r="AE7" s="299">
        <f>ROUND(AD7*AF7/100,0)</f>
        <v>0</v>
      </c>
      <c r="AF7" s="311">
        <v>24.91</v>
      </c>
      <c r="AG7" s="312">
        <v>80990</v>
      </c>
      <c r="AH7" s="299">
        <v>29654</v>
      </c>
      <c r="AI7" s="299">
        <v>24.91</v>
      </c>
      <c r="AJ7" s="313">
        <v>0</v>
      </c>
      <c r="AK7" s="299">
        <f>ROUND(AJ7*AL7/100,0)</f>
        <v>0</v>
      </c>
      <c r="AL7" s="299">
        <v>0</v>
      </c>
      <c r="AM7" s="314"/>
      <c r="AN7" s="299"/>
      <c r="AO7" s="299"/>
      <c r="AP7" s="299"/>
      <c r="AQ7" s="299">
        <f t="shared" ref="AQ7:AQ15" si="4">ROUND(AP7*AR7/100,0)</f>
        <v>0</v>
      </c>
      <c r="AR7" s="228">
        <v>24.91</v>
      </c>
    </row>
    <row r="8" spans="1:44" ht="15" customHeight="1" x14ac:dyDescent="0.2">
      <c r="A8" s="66">
        <v>2</v>
      </c>
      <c r="B8" s="141" t="s">
        <v>223</v>
      </c>
      <c r="C8" s="189">
        <f t="shared" ref="C8:C15" si="5">Y8/12*11</f>
        <v>7541.416666666667</v>
      </c>
      <c r="D8" s="189">
        <f>[2]госп!$C$128</f>
        <v>7171</v>
      </c>
      <c r="E8" s="190">
        <f>D8/C8*100</f>
        <v>95.088234969114993</v>
      </c>
      <c r="F8" s="189">
        <f t="shared" ref="F8:F15" si="6">AB8/12*11</f>
        <v>3285.3333333333335</v>
      </c>
      <c r="G8" s="189">
        <f>[2]госп!$O$128</f>
        <v>2972</v>
      </c>
      <c r="H8" s="191">
        <f t="shared" si="0"/>
        <v>90.5</v>
      </c>
      <c r="I8" s="189">
        <f t="shared" ref="I8:I15" si="7">AE8/12*11</f>
        <v>0</v>
      </c>
      <c r="J8" s="189">
        <f>[2]госп!$W$128</f>
        <v>0</v>
      </c>
      <c r="K8" s="191"/>
      <c r="L8" s="189">
        <f t="shared" si="3"/>
        <v>16866.666666666664</v>
      </c>
      <c r="M8" s="189">
        <f>[2]госп!$S$128</f>
        <v>17631.189999999999</v>
      </c>
      <c r="N8" s="191">
        <f t="shared" si="1"/>
        <v>104.5</v>
      </c>
      <c r="O8" s="189">
        <f t="shared" ref="O8:O15" si="8">AK8/12*11</f>
        <v>3787.6666666666665</v>
      </c>
      <c r="P8" s="189">
        <f>[2]госп!$AA$128</f>
        <v>2903</v>
      </c>
      <c r="Q8" s="191">
        <f>ROUND(P8/O8*100,1)</f>
        <v>76.599999999999994</v>
      </c>
      <c r="R8" s="189">
        <f t="shared" ref="R8:R15" si="9">AN8/12*11</f>
        <v>0</v>
      </c>
      <c r="S8" s="189">
        <f>[2]госп!$G$128</f>
        <v>0</v>
      </c>
      <c r="T8" s="191"/>
      <c r="U8" s="189">
        <f t="shared" ref="U8:U15" si="10">AQ8/12*11</f>
        <v>0</v>
      </c>
      <c r="V8" s="189">
        <f>[2]госп!$K$128</f>
        <v>0</v>
      </c>
      <c r="W8" s="191"/>
      <c r="X8" s="130">
        <v>49000</v>
      </c>
      <c r="Y8" s="299">
        <v>8227</v>
      </c>
      <c r="Z8" s="308">
        <v>8.5299999999999994</v>
      </c>
      <c r="AA8" s="351">
        <f>ROUND(X8*Z8/100,0)</f>
        <v>4180</v>
      </c>
      <c r="AB8" s="299">
        <v>3584</v>
      </c>
      <c r="AC8" s="299">
        <v>33.549999999999997</v>
      </c>
      <c r="AD8" s="310"/>
      <c r="AE8" s="299">
        <f t="shared" ref="AE8:AE15" si="11">ROUND(AD8*AF8/100,0)</f>
        <v>0</v>
      </c>
      <c r="AF8" s="311">
        <v>32.07</v>
      </c>
      <c r="AG8" s="312">
        <v>44003</v>
      </c>
      <c r="AH8" s="299">
        <v>18400</v>
      </c>
      <c r="AI8" s="299">
        <v>32.07</v>
      </c>
      <c r="AJ8" s="313">
        <v>13780</v>
      </c>
      <c r="AK8" s="299">
        <v>4132</v>
      </c>
      <c r="AL8" s="299">
        <v>32.07</v>
      </c>
      <c r="AM8" s="314"/>
      <c r="AN8" s="299"/>
      <c r="AO8" s="299"/>
      <c r="AP8" s="299"/>
      <c r="AQ8" s="299">
        <f t="shared" si="4"/>
        <v>0</v>
      </c>
      <c r="AR8" s="228">
        <v>32.07</v>
      </c>
    </row>
    <row r="9" spans="1:44" ht="15" customHeight="1" x14ac:dyDescent="0.2">
      <c r="A9" s="66">
        <v>3</v>
      </c>
      <c r="B9" s="141" t="s">
        <v>222</v>
      </c>
      <c r="C9" s="189">
        <f t="shared" si="5"/>
        <v>8341.6666666666679</v>
      </c>
      <c r="D9" s="189">
        <f>[3]КАРД!$C$128</f>
        <v>7740</v>
      </c>
      <c r="E9" s="190">
        <f>D9/C9*100</f>
        <v>92.787212787212766</v>
      </c>
      <c r="F9" s="189">
        <f t="shared" si="6"/>
        <v>5708.083333333333</v>
      </c>
      <c r="G9" s="189">
        <f>[3]КАРД!$O$128</f>
        <v>5074</v>
      </c>
      <c r="H9" s="191">
        <f t="shared" si="0"/>
        <v>88.9</v>
      </c>
      <c r="I9" s="189">
        <f t="shared" si="7"/>
        <v>0</v>
      </c>
      <c r="J9" s="189">
        <f>[3]КАРД!$W$128</f>
        <v>0</v>
      </c>
      <c r="K9" s="191"/>
      <c r="L9" s="189">
        <f t="shared" si="3"/>
        <v>8614.8333333333321</v>
      </c>
      <c r="M9" s="189">
        <f>[3]КАРД!$S$128</f>
        <v>7824</v>
      </c>
      <c r="N9" s="191">
        <f t="shared" si="1"/>
        <v>90.8</v>
      </c>
      <c r="O9" s="189">
        <f t="shared" si="8"/>
        <v>933.16666666666663</v>
      </c>
      <c r="P9" s="189">
        <f>[3]КАРД!$AA$128</f>
        <v>369</v>
      </c>
      <c r="Q9" s="191">
        <f>ROUND(P9/O9*100,1)</f>
        <v>39.5</v>
      </c>
      <c r="R9" s="189">
        <f t="shared" si="9"/>
        <v>0</v>
      </c>
      <c r="S9" s="189">
        <f>[3]КАРД!$G$128</f>
        <v>0</v>
      </c>
      <c r="T9" s="191"/>
      <c r="U9" s="189">
        <f t="shared" si="10"/>
        <v>0</v>
      </c>
      <c r="V9" s="189">
        <f>[3]КАРД!$K$128</f>
        <v>0</v>
      </c>
      <c r="W9" s="191"/>
      <c r="X9" s="130">
        <v>38000</v>
      </c>
      <c r="Y9" s="299">
        <v>9100</v>
      </c>
      <c r="Z9" s="308">
        <v>21.61</v>
      </c>
      <c r="AA9" s="309">
        <v>18705</v>
      </c>
      <c r="AB9" s="299">
        <v>6227</v>
      </c>
      <c r="AC9" s="299">
        <v>26.22</v>
      </c>
      <c r="AD9" s="310"/>
      <c r="AE9" s="299">
        <f t="shared" si="11"/>
        <v>0</v>
      </c>
      <c r="AF9" s="311">
        <v>29.24</v>
      </c>
      <c r="AG9" s="312">
        <v>15191</v>
      </c>
      <c r="AH9" s="299">
        <v>9398</v>
      </c>
      <c r="AI9" s="299">
        <v>29.24</v>
      </c>
      <c r="AJ9" s="313">
        <v>3550</v>
      </c>
      <c r="AK9" s="299">
        <v>1018</v>
      </c>
      <c r="AL9" s="299">
        <v>29.24</v>
      </c>
      <c r="AM9" s="314"/>
      <c r="AN9" s="299"/>
      <c r="AO9" s="299"/>
      <c r="AP9" s="299"/>
      <c r="AQ9" s="299">
        <f t="shared" si="4"/>
        <v>0</v>
      </c>
      <c r="AR9" s="228">
        <v>29.24</v>
      </c>
    </row>
    <row r="10" spans="1:44" ht="15" customHeight="1" x14ac:dyDescent="0.2">
      <c r="A10" s="66">
        <v>4</v>
      </c>
      <c r="B10" s="205" t="s">
        <v>221</v>
      </c>
      <c r="C10" s="189">
        <f t="shared" si="5"/>
        <v>2795.833333333333</v>
      </c>
      <c r="D10" s="189">
        <f>[3]КОЖВЕН!$C$128</f>
        <v>2024</v>
      </c>
      <c r="E10" s="190">
        <f>D10/C10*100</f>
        <v>72.393442622950829</v>
      </c>
      <c r="F10" s="189">
        <f t="shared" si="6"/>
        <v>3407.25</v>
      </c>
      <c r="G10" s="189">
        <f>[3]КОЖВЕН!$O$128</f>
        <v>3108</v>
      </c>
      <c r="H10" s="191">
        <f t="shared" si="0"/>
        <v>91.2</v>
      </c>
      <c r="I10" s="189">
        <f t="shared" si="7"/>
        <v>0</v>
      </c>
      <c r="J10" s="189">
        <f>[3]КОЖВЕН!$W$128</f>
        <v>0</v>
      </c>
      <c r="K10" s="191"/>
      <c r="L10" s="189">
        <f t="shared" si="3"/>
        <v>11281.416666666666</v>
      </c>
      <c r="M10" s="189">
        <f>[3]КОЖВЕН!$S$128</f>
        <v>10586</v>
      </c>
      <c r="N10" s="191">
        <f t="shared" si="1"/>
        <v>93.8</v>
      </c>
      <c r="O10" s="189">
        <f t="shared" si="8"/>
        <v>3584.1666666666665</v>
      </c>
      <c r="P10" s="189">
        <f>[3]КОЖВЕН!$AA$128</f>
        <v>2546</v>
      </c>
      <c r="Q10" s="191">
        <f>ROUND(P10/O10*100,1)</f>
        <v>71</v>
      </c>
      <c r="R10" s="189">
        <f t="shared" si="9"/>
        <v>0</v>
      </c>
      <c r="S10" s="189">
        <f>[3]КОЖВЕН!$G$128</f>
        <v>0</v>
      </c>
      <c r="T10" s="191"/>
      <c r="U10" s="189">
        <f t="shared" si="10"/>
        <v>0</v>
      </c>
      <c r="V10" s="189">
        <f>[3]КОЖВЕН!$K$128</f>
        <v>0</v>
      </c>
      <c r="W10" s="191"/>
      <c r="X10" s="130">
        <v>9000</v>
      </c>
      <c r="Y10" s="299">
        <v>3050</v>
      </c>
      <c r="Z10" s="308">
        <v>26.87</v>
      </c>
      <c r="AA10" s="309">
        <v>8500</v>
      </c>
      <c r="AB10" s="299">
        <v>3717</v>
      </c>
      <c r="AC10" s="299">
        <v>36.18</v>
      </c>
      <c r="AD10" s="310"/>
      <c r="AE10" s="299">
        <f t="shared" si="11"/>
        <v>0</v>
      </c>
      <c r="AF10" s="311">
        <v>13.93</v>
      </c>
      <c r="AG10" s="312">
        <v>57007</v>
      </c>
      <c r="AH10" s="299">
        <v>12307</v>
      </c>
      <c r="AI10" s="299">
        <v>13.93</v>
      </c>
      <c r="AJ10" s="313">
        <v>10909</v>
      </c>
      <c r="AK10" s="299">
        <v>3910</v>
      </c>
      <c r="AL10" s="299">
        <v>13.93</v>
      </c>
      <c r="AM10" s="314"/>
      <c r="AN10" s="299"/>
      <c r="AO10" s="299"/>
      <c r="AP10" s="299"/>
      <c r="AQ10" s="299">
        <f t="shared" si="4"/>
        <v>0</v>
      </c>
      <c r="AR10" s="228">
        <v>13.93</v>
      </c>
    </row>
    <row r="11" spans="1:44" ht="15" customHeight="1" x14ac:dyDescent="0.2">
      <c r="A11" s="66">
        <v>5</v>
      </c>
      <c r="B11" s="141" t="s">
        <v>220</v>
      </c>
      <c r="C11" s="189">
        <f t="shared" si="5"/>
        <v>11057.75</v>
      </c>
      <c r="D11" s="189">
        <f>[3]ОНКО!$C$128</f>
        <v>10257</v>
      </c>
      <c r="E11" s="190">
        <f>D11/C11*100</f>
        <v>92.758472564490972</v>
      </c>
      <c r="F11" s="189">
        <f t="shared" si="6"/>
        <v>6331.416666666667</v>
      </c>
      <c r="G11" s="189">
        <f>[3]ОНКО!$O$128</f>
        <v>4801</v>
      </c>
      <c r="H11" s="191">
        <f t="shared" si="0"/>
        <v>75.8</v>
      </c>
      <c r="I11" s="189">
        <f t="shared" si="7"/>
        <v>0</v>
      </c>
      <c r="J11" s="189">
        <f>[3]ОНКО!$W$128</f>
        <v>0</v>
      </c>
      <c r="K11" s="191"/>
      <c r="L11" s="189">
        <f t="shared" si="3"/>
        <v>13517.166666666666</v>
      </c>
      <c r="M11" s="189">
        <f>[3]ОНКО!$S$128</f>
        <v>12640</v>
      </c>
      <c r="N11" s="191">
        <f t="shared" si="1"/>
        <v>93.5</v>
      </c>
      <c r="O11" s="189">
        <f t="shared" si="8"/>
        <v>286</v>
      </c>
      <c r="P11" s="189">
        <f>[3]ОНКО!$AA$128</f>
        <v>81</v>
      </c>
      <c r="Q11" s="191"/>
      <c r="R11" s="189">
        <f t="shared" si="9"/>
        <v>0</v>
      </c>
      <c r="S11" s="189">
        <f>[3]ОНКО!$G$128</f>
        <v>0</v>
      </c>
      <c r="T11" s="191"/>
      <c r="U11" s="189">
        <f t="shared" si="10"/>
        <v>0</v>
      </c>
      <c r="V11" s="189">
        <f>[3]ОНКО!$K$128</f>
        <v>0</v>
      </c>
      <c r="W11" s="191"/>
      <c r="X11" s="130">
        <v>44000</v>
      </c>
      <c r="Y11" s="299">
        <v>12063</v>
      </c>
      <c r="Z11" s="308">
        <v>24.45</v>
      </c>
      <c r="AA11" s="309">
        <v>18700</v>
      </c>
      <c r="AB11" s="299">
        <v>6907</v>
      </c>
      <c r="AC11" s="299">
        <v>29.31</v>
      </c>
      <c r="AD11" s="310"/>
      <c r="AE11" s="299">
        <f t="shared" si="11"/>
        <v>0</v>
      </c>
      <c r="AF11" s="311">
        <v>28.49</v>
      </c>
      <c r="AG11" s="312">
        <v>44000</v>
      </c>
      <c r="AH11" s="299">
        <v>14746</v>
      </c>
      <c r="AI11" s="299">
        <v>28.49</v>
      </c>
      <c r="AJ11" s="313"/>
      <c r="AK11" s="299">
        <v>312</v>
      </c>
      <c r="AL11" s="299">
        <v>28.49</v>
      </c>
      <c r="AM11" s="314"/>
      <c r="AN11" s="299"/>
      <c r="AO11" s="299"/>
      <c r="AP11" s="299"/>
      <c r="AQ11" s="299">
        <f t="shared" si="4"/>
        <v>0</v>
      </c>
      <c r="AR11" s="228">
        <v>28.49</v>
      </c>
    </row>
    <row r="12" spans="1:44" ht="15" customHeight="1" x14ac:dyDescent="0.2">
      <c r="A12" s="66">
        <v>6</v>
      </c>
      <c r="B12" s="141" t="s">
        <v>201</v>
      </c>
      <c r="C12" s="189">
        <f t="shared" si="5"/>
        <v>0</v>
      </c>
      <c r="D12" s="189">
        <f>[2]цвд!$C$128</f>
        <v>0</v>
      </c>
      <c r="E12" s="190"/>
      <c r="F12" s="189">
        <f t="shared" si="6"/>
        <v>5481.6666666666661</v>
      </c>
      <c r="G12" s="189">
        <f>[2]цвд!$O$128</f>
        <v>4920</v>
      </c>
      <c r="H12" s="191">
        <f t="shared" si="0"/>
        <v>89.8</v>
      </c>
      <c r="I12" s="189">
        <f t="shared" si="7"/>
        <v>0</v>
      </c>
      <c r="J12" s="189">
        <f>[2]цвд!$W$128</f>
        <v>0</v>
      </c>
      <c r="K12" s="191"/>
      <c r="L12" s="189">
        <f t="shared" si="3"/>
        <v>965.25</v>
      </c>
      <c r="M12" s="189">
        <f>[2]цвд!$S$128</f>
        <v>668</v>
      </c>
      <c r="N12" s="191">
        <f t="shared" si="1"/>
        <v>69.2</v>
      </c>
      <c r="O12" s="189">
        <f t="shared" si="8"/>
        <v>0</v>
      </c>
      <c r="P12" s="189">
        <f>[2]цвд!$AA$128</f>
        <v>0</v>
      </c>
      <c r="Q12" s="191"/>
      <c r="R12" s="189">
        <f t="shared" si="9"/>
        <v>0</v>
      </c>
      <c r="S12" s="189">
        <f>[2]цвд!$G$128</f>
        <v>0</v>
      </c>
      <c r="T12" s="191"/>
      <c r="U12" s="189">
        <f t="shared" si="10"/>
        <v>0</v>
      </c>
      <c r="V12" s="189">
        <f>[2]цвд!$K$128</f>
        <v>0</v>
      </c>
      <c r="W12" s="191"/>
      <c r="X12" s="130"/>
      <c r="Y12" s="299">
        <f>ROUND(X12*Z12/100,0)</f>
        <v>0</v>
      </c>
      <c r="Z12" s="308"/>
      <c r="AA12" s="309">
        <v>28200</v>
      </c>
      <c r="AB12" s="299">
        <v>5980</v>
      </c>
      <c r="AC12" s="299">
        <v>9.6</v>
      </c>
      <c r="AD12" s="310"/>
      <c r="AE12" s="299">
        <f t="shared" si="11"/>
        <v>0</v>
      </c>
      <c r="AF12" s="311">
        <v>8.6199999999999992</v>
      </c>
      <c r="AG12" s="312">
        <v>4000</v>
      </c>
      <c r="AH12" s="299">
        <v>1053</v>
      </c>
      <c r="AI12" s="299">
        <v>8.6199999999999992</v>
      </c>
      <c r="AJ12" s="313"/>
      <c r="AK12" s="299">
        <f>ROUND(AJ12*AL12/100,0)</f>
        <v>0</v>
      </c>
      <c r="AL12" s="299">
        <v>8.6199999999999992</v>
      </c>
      <c r="AM12" s="314"/>
      <c r="AN12" s="299"/>
      <c r="AO12" s="299"/>
      <c r="AP12" s="299"/>
      <c r="AQ12" s="299">
        <f t="shared" si="4"/>
        <v>0</v>
      </c>
      <c r="AR12" s="228">
        <v>8.6199999999999992</v>
      </c>
    </row>
    <row r="13" spans="1:44" ht="15" customHeight="1" x14ac:dyDescent="0.2">
      <c r="A13" s="66">
        <v>8</v>
      </c>
      <c r="B13" s="141" t="s">
        <v>219</v>
      </c>
      <c r="C13" s="189">
        <f t="shared" si="5"/>
        <v>0</v>
      </c>
      <c r="D13" s="189">
        <f>[2]обл.ст!$C$128</f>
        <v>0</v>
      </c>
      <c r="E13" s="190"/>
      <c r="F13" s="189">
        <f t="shared" si="6"/>
        <v>0</v>
      </c>
      <c r="G13" s="189">
        <f>[2]обл.ст!$O$128</f>
        <v>0</v>
      </c>
      <c r="H13" s="191"/>
      <c r="I13" s="189">
        <f t="shared" si="7"/>
        <v>0</v>
      </c>
      <c r="J13" s="189">
        <f>[2]обл.ст!$W$128</f>
        <v>0</v>
      </c>
      <c r="K13" s="191"/>
      <c r="L13" s="189">
        <f t="shared" si="3"/>
        <v>64166.666666666664</v>
      </c>
      <c r="M13" s="189">
        <f>[2]обл.ст!$S$128</f>
        <v>69521.83</v>
      </c>
      <c r="N13" s="191">
        <f t="shared" ref="N13:N39" si="12">ROUND(M13/L13*100,1)</f>
        <v>108.3</v>
      </c>
      <c r="O13" s="189">
        <f t="shared" si="8"/>
        <v>13750</v>
      </c>
      <c r="P13" s="189">
        <f>[2]обл.ст!$AA$128</f>
        <v>6879</v>
      </c>
      <c r="Q13" s="191"/>
      <c r="R13" s="189">
        <f t="shared" si="9"/>
        <v>0</v>
      </c>
      <c r="S13" s="189">
        <f>[2]обл.ст!$G$128</f>
        <v>0</v>
      </c>
      <c r="T13" s="191"/>
      <c r="U13" s="189">
        <f t="shared" si="10"/>
        <v>0</v>
      </c>
      <c r="V13" s="189">
        <f>[2]обл.ст!$K$128</f>
        <v>0</v>
      </c>
      <c r="W13" s="191"/>
      <c r="X13" s="130"/>
      <c r="Y13" s="299">
        <f>ROUND(X13*Z13/100,0)</f>
        <v>0</v>
      </c>
      <c r="Z13" s="308"/>
      <c r="AA13" s="309"/>
      <c r="AB13" s="299">
        <f>ROUND(AA13*AC13/100,0)</f>
        <v>0</v>
      </c>
      <c r="AC13" s="299"/>
      <c r="AD13" s="310"/>
      <c r="AE13" s="299">
        <f t="shared" si="11"/>
        <v>0</v>
      </c>
      <c r="AF13" s="311">
        <v>33.97</v>
      </c>
      <c r="AG13" s="312">
        <v>203077</v>
      </c>
      <c r="AH13" s="299">
        <v>70000</v>
      </c>
      <c r="AI13" s="299">
        <v>33.97</v>
      </c>
      <c r="AJ13" s="313">
        <v>60750</v>
      </c>
      <c r="AK13" s="299">
        <v>15000</v>
      </c>
      <c r="AL13" s="299">
        <v>33.97</v>
      </c>
      <c r="AM13" s="314"/>
      <c r="AN13" s="299"/>
      <c r="AO13" s="299"/>
      <c r="AP13" s="299"/>
      <c r="AQ13" s="299">
        <f t="shared" si="4"/>
        <v>0</v>
      </c>
      <c r="AR13" s="228">
        <v>33.97</v>
      </c>
    </row>
    <row r="14" spans="1:44" ht="15" customHeight="1" x14ac:dyDescent="0.2">
      <c r="A14" s="274">
        <v>9</v>
      </c>
      <c r="B14" s="67" t="s">
        <v>211</v>
      </c>
      <c r="C14" s="189">
        <f t="shared" si="5"/>
        <v>12707.75</v>
      </c>
      <c r="D14" s="189">
        <f>[4]детск!$C$128</f>
        <v>12179</v>
      </c>
      <c r="E14" s="190">
        <f>D14/C14*100</f>
        <v>95.839153272609238</v>
      </c>
      <c r="F14" s="189">
        <f t="shared" si="6"/>
        <v>0</v>
      </c>
      <c r="G14" s="189">
        <f>[4]детск!$O$128</f>
        <v>0</v>
      </c>
      <c r="H14" s="191"/>
      <c r="I14" s="189">
        <f t="shared" si="7"/>
        <v>1003.75</v>
      </c>
      <c r="J14" s="189">
        <f>[4]детск!$W$128</f>
        <v>543</v>
      </c>
      <c r="K14" s="191">
        <f>ROUND(J14/I14*100,1)</f>
        <v>54.1</v>
      </c>
      <c r="L14" s="189">
        <f t="shared" si="3"/>
        <v>15417.416666666666</v>
      </c>
      <c r="M14" s="189">
        <f>[4]детск!$S$128</f>
        <v>13976</v>
      </c>
      <c r="N14" s="191">
        <f t="shared" si="12"/>
        <v>90.7</v>
      </c>
      <c r="O14" s="189">
        <f t="shared" si="8"/>
        <v>2611.583333333333</v>
      </c>
      <c r="P14" s="189">
        <f>[4]детск!$AA$128</f>
        <v>2045</v>
      </c>
      <c r="Q14" s="191">
        <f>ROUND(P14/O14*100,1)</f>
        <v>78.3</v>
      </c>
      <c r="R14" s="189">
        <f t="shared" si="9"/>
        <v>0</v>
      </c>
      <c r="S14" s="189">
        <f>[4]детск!$G$128</f>
        <v>0</v>
      </c>
      <c r="T14" s="191"/>
      <c r="U14" s="189">
        <f t="shared" si="10"/>
        <v>0</v>
      </c>
      <c r="V14" s="189">
        <f>[4]Гал!$K$128</f>
        <v>0</v>
      </c>
      <c r="W14" s="191"/>
      <c r="X14" s="247">
        <v>64000</v>
      </c>
      <c r="Y14" s="299">
        <v>13863</v>
      </c>
      <c r="Z14" s="315">
        <v>13.27</v>
      </c>
      <c r="AA14" s="316"/>
      <c r="AB14" s="299">
        <f>ROUND(AA14*AC14/100,0)</f>
        <v>0</v>
      </c>
      <c r="AC14" s="317"/>
      <c r="AD14" s="318">
        <v>9297</v>
      </c>
      <c r="AE14" s="299">
        <v>1095</v>
      </c>
      <c r="AF14" s="319">
        <v>8.5</v>
      </c>
      <c r="AG14" s="320">
        <v>57745</v>
      </c>
      <c r="AH14" s="299">
        <v>16819</v>
      </c>
      <c r="AI14" s="317">
        <v>8.5</v>
      </c>
      <c r="AJ14" s="321">
        <v>26589</v>
      </c>
      <c r="AK14" s="299">
        <v>2849</v>
      </c>
      <c r="AL14" s="317">
        <v>8.5</v>
      </c>
      <c r="AM14" s="322"/>
      <c r="AN14" s="317"/>
      <c r="AO14" s="317"/>
      <c r="AP14" s="317"/>
      <c r="AQ14" s="299">
        <f t="shared" si="4"/>
        <v>0</v>
      </c>
      <c r="AR14" s="228">
        <v>8.5</v>
      </c>
    </row>
    <row r="15" spans="1:44" ht="15" customHeight="1" x14ac:dyDescent="0.2">
      <c r="A15" s="274">
        <v>10</v>
      </c>
      <c r="B15" s="67" t="s">
        <v>202</v>
      </c>
      <c r="C15" s="189">
        <f t="shared" si="5"/>
        <v>0</v>
      </c>
      <c r="D15" s="189">
        <f>[3]цпс!$C$128</f>
        <v>0</v>
      </c>
      <c r="E15" s="190"/>
      <c r="F15" s="189">
        <f t="shared" si="6"/>
        <v>0</v>
      </c>
      <c r="G15" s="189">
        <f>[3]цпс!$O$128</f>
        <v>0</v>
      </c>
      <c r="H15" s="191"/>
      <c r="I15" s="189">
        <f t="shared" si="7"/>
        <v>0</v>
      </c>
      <c r="J15" s="189">
        <f>[3]цпс!$W$128</f>
        <v>0</v>
      </c>
      <c r="K15" s="191"/>
      <c r="L15" s="189">
        <f t="shared" si="3"/>
        <v>1700.4166666666667</v>
      </c>
      <c r="M15" s="189">
        <f>[3]цпс!$S$128</f>
        <v>1498</v>
      </c>
      <c r="N15" s="191">
        <f t="shared" si="12"/>
        <v>88.1</v>
      </c>
      <c r="O15" s="189">
        <f t="shared" si="8"/>
        <v>0</v>
      </c>
      <c r="P15" s="189">
        <f>[3]цпс!$AA$128</f>
        <v>0</v>
      </c>
      <c r="Q15" s="191"/>
      <c r="R15" s="189">
        <f t="shared" si="9"/>
        <v>0</v>
      </c>
      <c r="S15" s="189">
        <f>[3]цпс!$G$128</f>
        <v>0</v>
      </c>
      <c r="T15" s="191"/>
      <c r="U15" s="189">
        <f t="shared" si="10"/>
        <v>0</v>
      </c>
      <c r="V15" s="189">
        <f>[4]Гал!$K$128</f>
        <v>0</v>
      </c>
      <c r="W15" s="191"/>
      <c r="X15" s="247"/>
      <c r="Y15" s="299">
        <f>ROUND(X15*Z15/100,0)</f>
        <v>0</v>
      </c>
      <c r="Z15" s="315"/>
      <c r="AA15" s="316"/>
      <c r="AB15" s="299">
        <f>ROUND(AA15*AC15/100,0)</f>
        <v>0</v>
      </c>
      <c r="AC15" s="317">
        <v>0</v>
      </c>
      <c r="AD15" s="318">
        <v>0</v>
      </c>
      <c r="AE15" s="299">
        <f t="shared" si="11"/>
        <v>0</v>
      </c>
      <c r="AF15" s="319">
        <v>0</v>
      </c>
      <c r="AG15" s="320">
        <v>1635</v>
      </c>
      <c r="AH15" s="299">
        <v>1855</v>
      </c>
      <c r="AI15" s="317">
        <v>51.69</v>
      </c>
      <c r="AJ15" s="321">
        <v>0</v>
      </c>
      <c r="AK15" s="299">
        <f>ROUND(AJ15*AL15/100,0)</f>
        <v>0</v>
      </c>
      <c r="AL15" s="317">
        <v>0</v>
      </c>
      <c r="AM15" s="322"/>
      <c r="AN15" s="317"/>
      <c r="AO15" s="317"/>
      <c r="AP15" s="317"/>
      <c r="AQ15" s="299">
        <f t="shared" si="4"/>
        <v>0</v>
      </c>
      <c r="AR15" s="228">
        <v>0</v>
      </c>
    </row>
    <row r="16" spans="1:44" ht="15" customHeight="1" x14ac:dyDescent="0.25">
      <c r="A16" s="395" t="s">
        <v>271</v>
      </c>
      <c r="B16" s="396"/>
      <c r="C16" s="192">
        <f>SUM(C17:C25)</f>
        <v>21873.500000000004</v>
      </c>
      <c r="D16" s="192">
        <f>SUM(D17:D25)</f>
        <v>20072</v>
      </c>
      <c r="E16" s="187">
        <f>ROUND(D16/C16*100,1)</f>
        <v>91.8</v>
      </c>
      <c r="F16" s="192">
        <f>SUM(F17:F25)</f>
        <v>11143</v>
      </c>
      <c r="G16" s="192">
        <f>SUM(G17:G25)</f>
        <v>9751</v>
      </c>
      <c r="H16" s="188">
        <f>ROUND(G16/F16*100,1)</f>
        <v>87.5</v>
      </c>
      <c r="I16" s="192">
        <f>SUM(I17:I25)</f>
        <v>5391.8333333333339</v>
      </c>
      <c r="J16" s="192">
        <f>SUM(J17:J25)</f>
        <v>2807</v>
      </c>
      <c r="K16" s="193">
        <f>ROUND(J16/I16*100,1)</f>
        <v>52.1</v>
      </c>
      <c r="L16" s="192">
        <f>SUM(L17:L25)</f>
        <v>109503.16666666669</v>
      </c>
      <c r="M16" s="192">
        <f>SUM(M17:M25)</f>
        <v>104245.40999999999</v>
      </c>
      <c r="N16" s="193">
        <f t="shared" si="12"/>
        <v>95.2</v>
      </c>
      <c r="O16" s="192">
        <f>SUM(O17:O25)</f>
        <v>26308.333333333332</v>
      </c>
      <c r="P16" s="192">
        <f>SUM(P17:P25)</f>
        <v>21069</v>
      </c>
      <c r="Q16" s="193">
        <f>ROUND(P16/O16*100,1)</f>
        <v>80.099999999999994</v>
      </c>
      <c r="R16" s="192">
        <f>SUM(R17:R25)</f>
        <v>6268.1666666666661</v>
      </c>
      <c r="S16" s="192">
        <f>SUM(S17:S25)</f>
        <v>6194</v>
      </c>
      <c r="T16" s="193">
        <f t="shared" ref="T16:T39" si="13">ROUND(S16/R16*100,1)</f>
        <v>98.8</v>
      </c>
      <c r="U16" s="192">
        <f>SUM(U17:U25)</f>
        <v>0</v>
      </c>
      <c r="V16" s="192">
        <f>SUM(V17:V25)</f>
        <v>0</v>
      </c>
      <c r="W16" s="193" t="e">
        <f>ROUND(V16/U16*100,1)</f>
        <v>#DIV/0!</v>
      </c>
      <c r="X16" s="192">
        <f t="shared" ref="X16:AR16" si="14">SUM(X17:X25)</f>
        <v>125935</v>
      </c>
      <c r="Y16" s="305">
        <f t="shared" si="14"/>
        <v>23862</v>
      </c>
      <c r="Z16" s="305">
        <f t="shared" si="14"/>
        <v>115.08</v>
      </c>
      <c r="AA16" s="305">
        <f t="shared" si="14"/>
        <v>52300</v>
      </c>
      <c r="AB16" s="305">
        <f t="shared" si="14"/>
        <v>12156</v>
      </c>
      <c r="AC16" s="305">
        <f t="shared" si="14"/>
        <v>177.11</v>
      </c>
      <c r="AD16" s="305">
        <f t="shared" si="14"/>
        <v>21648</v>
      </c>
      <c r="AE16" s="305">
        <f t="shared" si="14"/>
        <v>5882</v>
      </c>
      <c r="AF16" s="305">
        <f t="shared" si="14"/>
        <v>159.34</v>
      </c>
      <c r="AG16" s="305">
        <f t="shared" si="14"/>
        <v>310001</v>
      </c>
      <c r="AH16" s="305">
        <f t="shared" si="14"/>
        <v>119458</v>
      </c>
      <c r="AI16" s="305">
        <f t="shared" si="14"/>
        <v>159.34</v>
      </c>
      <c r="AJ16" s="305">
        <f t="shared" si="14"/>
        <v>192127</v>
      </c>
      <c r="AK16" s="305">
        <f t="shared" si="14"/>
        <v>28700</v>
      </c>
      <c r="AL16" s="305">
        <f t="shared" si="14"/>
        <v>159.34</v>
      </c>
      <c r="AM16" s="305">
        <f t="shared" si="14"/>
        <v>31986</v>
      </c>
      <c r="AN16" s="305">
        <f t="shared" si="14"/>
        <v>6838</v>
      </c>
      <c r="AO16" s="305">
        <f t="shared" si="14"/>
        <v>170.38</v>
      </c>
      <c r="AP16" s="305">
        <f t="shared" si="14"/>
        <v>479</v>
      </c>
      <c r="AQ16" s="305">
        <f t="shared" si="14"/>
        <v>0</v>
      </c>
      <c r="AR16" s="192">
        <f t="shared" si="14"/>
        <v>159.34</v>
      </c>
    </row>
    <row r="17" spans="1:44" ht="15" customHeight="1" x14ac:dyDescent="0.2">
      <c r="A17" s="140">
        <v>11</v>
      </c>
      <c r="B17" s="63" t="s">
        <v>225</v>
      </c>
      <c r="C17" s="189">
        <f t="shared" ref="C17:C25" si="15">Y17/12*11</f>
        <v>89.833333333333329</v>
      </c>
      <c r="D17" s="189">
        <f>[2]ант!$C$128</f>
        <v>56</v>
      </c>
      <c r="E17" s="190">
        <f t="shared" ref="E17:E56" si="16">D17/C17*100</f>
        <v>62.337662337662337</v>
      </c>
      <c r="F17" s="189">
        <f t="shared" ref="F17:F25" si="17">AB17/12*11</f>
        <v>81.583333333333343</v>
      </c>
      <c r="G17" s="189">
        <f>[2]ант!$O$128</f>
        <v>71</v>
      </c>
      <c r="H17" s="191">
        <f t="shared" ref="H17:H46" si="18">ROUND(G17/F17*100,1)</f>
        <v>87</v>
      </c>
      <c r="I17" s="189">
        <f t="shared" ref="I17:I25" si="19">AE17/12*11</f>
        <v>22.916666666666668</v>
      </c>
      <c r="J17" s="189">
        <f>[2]ант!$W$128</f>
        <v>7</v>
      </c>
      <c r="K17" s="191">
        <f>ROUND(J17/I17*100,1)</f>
        <v>30.5</v>
      </c>
      <c r="L17" s="189">
        <f>AH17/12*11</f>
        <v>284.16666666666663</v>
      </c>
      <c r="M17" s="189">
        <f>[2]ант!$S$128</f>
        <v>296.61</v>
      </c>
      <c r="N17" s="191">
        <f t="shared" si="12"/>
        <v>104.4</v>
      </c>
      <c r="O17" s="189">
        <f t="shared" ref="O17:O25" si="20">AK17/12*11</f>
        <v>93.5</v>
      </c>
      <c r="P17" s="189">
        <f>[2]ант!$AA$128</f>
        <v>81</v>
      </c>
      <c r="Q17" s="191">
        <f t="shared" ref="Q17:Q39" si="21">ROUND(P17/O17*100,1)</f>
        <v>86.6</v>
      </c>
      <c r="R17" s="189">
        <f t="shared" ref="R17:R25" si="22">AN17/12*11</f>
        <v>26.583333333333332</v>
      </c>
      <c r="S17" s="189">
        <f>[2]ант!$G$128</f>
        <v>21</v>
      </c>
      <c r="T17" s="191">
        <f t="shared" si="13"/>
        <v>79</v>
      </c>
      <c r="U17" s="189">
        <f t="shared" ref="U17:U25" si="23">AQ17/12*11</f>
        <v>0</v>
      </c>
      <c r="V17" s="189">
        <f>[2]ант!$K$128</f>
        <v>0</v>
      </c>
      <c r="W17" s="191"/>
      <c r="X17" s="130">
        <v>5000</v>
      </c>
      <c r="Y17" s="299">
        <v>98</v>
      </c>
      <c r="Z17" s="299">
        <v>0.87</v>
      </c>
      <c r="AA17" s="309">
        <v>4700</v>
      </c>
      <c r="AB17" s="299">
        <v>89</v>
      </c>
      <c r="AC17" s="299">
        <v>4.34</v>
      </c>
      <c r="AD17" s="310">
        <v>1966</v>
      </c>
      <c r="AE17" s="299">
        <v>25</v>
      </c>
      <c r="AF17" s="311">
        <v>1.96</v>
      </c>
      <c r="AG17" s="312">
        <v>24504</v>
      </c>
      <c r="AH17" s="299">
        <v>310</v>
      </c>
      <c r="AI17" s="299">
        <v>1.96</v>
      </c>
      <c r="AJ17" s="313">
        <v>13157</v>
      </c>
      <c r="AK17" s="299">
        <v>102</v>
      </c>
      <c r="AL17" s="299">
        <v>1.96</v>
      </c>
      <c r="AM17" s="314">
        <v>2190</v>
      </c>
      <c r="AN17" s="299">
        <v>29</v>
      </c>
      <c r="AO17" s="323">
        <f>0.55+6.41</f>
        <v>6.96</v>
      </c>
      <c r="AP17" s="324"/>
      <c r="AQ17" s="299">
        <f>ROUND(AP17*AR17/100,0)</f>
        <v>0</v>
      </c>
      <c r="AR17" s="228">
        <v>1.96</v>
      </c>
    </row>
    <row r="18" spans="1:44" ht="15" customHeight="1" x14ac:dyDescent="0.2">
      <c r="A18" s="66">
        <v>12</v>
      </c>
      <c r="B18" s="67" t="s">
        <v>226</v>
      </c>
      <c r="C18" s="189">
        <f t="shared" si="15"/>
        <v>18470.833333333336</v>
      </c>
      <c r="D18" s="189">
        <f>[2]буй!$C$128</f>
        <v>17169</v>
      </c>
      <c r="E18" s="190">
        <f t="shared" si="16"/>
        <v>92.951951274531908</v>
      </c>
      <c r="F18" s="189">
        <f t="shared" si="17"/>
        <v>5423.9166666666661</v>
      </c>
      <c r="G18" s="189">
        <f>[2]буй!$O$128</f>
        <v>4747</v>
      </c>
      <c r="H18" s="191">
        <f t="shared" si="18"/>
        <v>87.5</v>
      </c>
      <c r="I18" s="189">
        <f t="shared" si="19"/>
        <v>2533.666666666667</v>
      </c>
      <c r="J18" s="256">
        <f>[2]буй!$W$128</f>
        <v>1891</v>
      </c>
      <c r="K18" s="191">
        <f>ROUND(J18/I18*100,1)</f>
        <v>74.599999999999994</v>
      </c>
      <c r="L18" s="189">
        <f t="shared" ref="L18:L25" si="24">AH18/12*11</f>
        <v>71149.833333333343</v>
      </c>
      <c r="M18" s="189">
        <f>[2]буй!$S$128</f>
        <v>67867.820000000007</v>
      </c>
      <c r="N18" s="191">
        <f t="shared" si="12"/>
        <v>95.4</v>
      </c>
      <c r="O18" s="189">
        <f t="shared" si="20"/>
        <v>13332.916666666666</v>
      </c>
      <c r="P18" s="189">
        <f>[2]буй!$AA$128</f>
        <v>10853</v>
      </c>
      <c r="Q18" s="191">
        <f t="shared" si="21"/>
        <v>81.400000000000006</v>
      </c>
      <c r="R18" s="189">
        <f t="shared" si="22"/>
        <v>5458.75</v>
      </c>
      <c r="S18" s="189">
        <f>[2]буй!$G$128</f>
        <v>5448</v>
      </c>
      <c r="T18" s="191">
        <f t="shared" si="13"/>
        <v>99.8</v>
      </c>
      <c r="U18" s="189">
        <f t="shared" si="23"/>
        <v>0</v>
      </c>
      <c r="V18" s="189">
        <f>[2]буй!$K$128</f>
        <v>0</v>
      </c>
      <c r="W18" s="191"/>
      <c r="X18" s="130">
        <v>36000</v>
      </c>
      <c r="Y18" s="299">
        <v>20150</v>
      </c>
      <c r="Z18" s="299">
        <v>52</v>
      </c>
      <c r="AA18" s="309">
        <v>10000</v>
      </c>
      <c r="AB18" s="299">
        <v>5917</v>
      </c>
      <c r="AC18" s="299">
        <v>53.17</v>
      </c>
      <c r="AD18" s="310">
        <v>2000</v>
      </c>
      <c r="AE18" s="299">
        <v>2764</v>
      </c>
      <c r="AF18" s="311">
        <v>50.54</v>
      </c>
      <c r="AG18" s="312">
        <v>63986</v>
      </c>
      <c r="AH18" s="299">
        <v>77618</v>
      </c>
      <c r="AI18" s="299">
        <v>50.54</v>
      </c>
      <c r="AJ18" s="313">
        <v>52599</v>
      </c>
      <c r="AK18" s="299">
        <v>14545</v>
      </c>
      <c r="AL18" s="299">
        <v>50.54</v>
      </c>
      <c r="AM18" s="314">
        <v>11400</v>
      </c>
      <c r="AN18" s="299">
        <v>5955</v>
      </c>
      <c r="AO18" s="323">
        <f>51.65+1.21</f>
        <v>52.86</v>
      </c>
      <c r="AP18" s="324"/>
      <c r="AQ18" s="299">
        <f>ROUND(AP18*AR18/100,0)</f>
        <v>0</v>
      </c>
      <c r="AR18" s="228">
        <v>50.54</v>
      </c>
    </row>
    <row r="19" spans="1:44" ht="15" customHeight="1" x14ac:dyDescent="0.2">
      <c r="A19" s="66">
        <v>13</v>
      </c>
      <c r="B19" s="67" t="s">
        <v>227</v>
      </c>
      <c r="C19" s="189">
        <f t="shared" si="15"/>
        <v>0</v>
      </c>
      <c r="D19" s="189">
        <f>[2]гавр!$C$128</f>
        <v>0</v>
      </c>
      <c r="E19" s="190"/>
      <c r="F19" s="189">
        <f t="shared" si="17"/>
        <v>3277.0833333333335</v>
      </c>
      <c r="G19" s="189">
        <f>[2]гавр!$O$128</f>
        <v>2793</v>
      </c>
      <c r="H19" s="191">
        <f t="shared" si="18"/>
        <v>85.2</v>
      </c>
      <c r="I19" s="189">
        <f t="shared" si="19"/>
        <v>1243</v>
      </c>
      <c r="J19" s="189">
        <f>[2]гавр!$W$128</f>
        <v>189</v>
      </c>
      <c r="K19" s="191"/>
      <c r="L19" s="189">
        <f t="shared" si="24"/>
        <v>19713.833333333336</v>
      </c>
      <c r="M19" s="189">
        <f>[2]гавр!$S$128</f>
        <v>18003.64</v>
      </c>
      <c r="N19" s="191">
        <f t="shared" si="12"/>
        <v>91.3</v>
      </c>
      <c r="O19" s="189">
        <f t="shared" si="20"/>
        <v>5207.5833333333339</v>
      </c>
      <c r="P19" s="189">
        <f>[2]гавр!$AA$128</f>
        <v>3802</v>
      </c>
      <c r="Q19" s="191">
        <f t="shared" si="21"/>
        <v>73</v>
      </c>
      <c r="R19" s="189">
        <f t="shared" si="22"/>
        <v>0</v>
      </c>
      <c r="S19" s="189">
        <f>[2]гавр!$G$128</f>
        <v>0</v>
      </c>
      <c r="T19" s="191"/>
      <c r="U19" s="189">
        <f t="shared" si="23"/>
        <v>0</v>
      </c>
      <c r="V19" s="189">
        <f>[2]гавр!$K$128</f>
        <v>0</v>
      </c>
      <c r="W19" s="191"/>
      <c r="X19" s="130"/>
      <c r="Y19" s="299">
        <f>ROUND(X19*Z19/100,0)</f>
        <v>0</v>
      </c>
      <c r="Z19" s="299"/>
      <c r="AA19" s="309">
        <v>8500</v>
      </c>
      <c r="AB19" s="299">
        <v>3575</v>
      </c>
      <c r="AC19" s="299">
        <v>43.37</v>
      </c>
      <c r="AD19" s="310">
        <v>500</v>
      </c>
      <c r="AE19" s="299">
        <v>1356</v>
      </c>
      <c r="AF19" s="311">
        <v>45.05</v>
      </c>
      <c r="AG19" s="312">
        <v>30506</v>
      </c>
      <c r="AH19" s="299">
        <v>21506</v>
      </c>
      <c r="AI19" s="299">
        <v>45.05</v>
      </c>
      <c r="AJ19" s="313">
        <v>13108</v>
      </c>
      <c r="AK19" s="299">
        <v>5681</v>
      </c>
      <c r="AL19" s="299">
        <v>45.05</v>
      </c>
      <c r="AM19" s="314"/>
      <c r="AN19" s="299">
        <f>ROUND(AM19*AO19/100,0)</f>
        <v>0</v>
      </c>
      <c r="AO19" s="323">
        <v>45.05</v>
      </c>
      <c r="AP19" s="324"/>
      <c r="AQ19" s="299">
        <f>ROUND(AP19*AR19/100,0)</f>
        <v>0</v>
      </c>
      <c r="AR19" s="228">
        <v>45.05</v>
      </c>
    </row>
    <row r="20" spans="1:44" ht="15" customHeight="1" x14ac:dyDescent="0.2">
      <c r="A20" s="66">
        <v>14</v>
      </c>
      <c r="B20" s="67" t="s">
        <v>203</v>
      </c>
      <c r="C20" s="189">
        <f t="shared" si="15"/>
        <v>1474</v>
      </c>
      <c r="D20" s="189">
        <f>[4]Гал!$C$128</f>
        <v>1408</v>
      </c>
      <c r="E20" s="190">
        <f t="shared" si="16"/>
        <v>95.522388059701484</v>
      </c>
      <c r="F20" s="189">
        <f t="shared" si="17"/>
        <v>315.33333333333337</v>
      </c>
      <c r="G20" s="189">
        <f>[4]Гал!$O$128</f>
        <v>237</v>
      </c>
      <c r="H20" s="191">
        <f t="shared" si="18"/>
        <v>75.2</v>
      </c>
      <c r="I20" s="189">
        <f t="shared" si="19"/>
        <v>174.16666666666669</v>
      </c>
      <c r="J20" s="189">
        <f>[4]Гал!$W$128</f>
        <v>150</v>
      </c>
      <c r="K20" s="191">
        <f>ROUND(J20/I20*100,1)</f>
        <v>86.1</v>
      </c>
      <c r="L20" s="189">
        <f t="shared" si="24"/>
        <v>3340.3333333333335</v>
      </c>
      <c r="M20" s="189">
        <f>[4]Гал!$S$128</f>
        <v>3529.3600000000006</v>
      </c>
      <c r="N20" s="191">
        <f t="shared" si="12"/>
        <v>105.7</v>
      </c>
      <c r="O20" s="189">
        <f t="shared" si="20"/>
        <v>829.58333333333337</v>
      </c>
      <c r="P20" s="189">
        <f>[4]Гал!$AA128</f>
        <v>788</v>
      </c>
      <c r="Q20" s="191">
        <f t="shared" si="21"/>
        <v>95</v>
      </c>
      <c r="R20" s="189">
        <f t="shared" si="22"/>
        <v>147.58333333333331</v>
      </c>
      <c r="S20" s="189">
        <f>[4]Гал!$G$128</f>
        <v>141</v>
      </c>
      <c r="T20" s="191">
        <f t="shared" si="13"/>
        <v>95.5</v>
      </c>
      <c r="U20" s="189">
        <f t="shared" si="23"/>
        <v>0</v>
      </c>
      <c r="V20" s="189">
        <f>[4]Гал!$K$128</f>
        <v>0</v>
      </c>
      <c r="W20" s="191"/>
      <c r="X20" s="130">
        <v>65000</v>
      </c>
      <c r="Y20" s="299">
        <v>1608</v>
      </c>
      <c r="Z20" s="299">
        <v>3.23</v>
      </c>
      <c r="AA20" s="309">
        <v>8500</v>
      </c>
      <c r="AB20" s="299">
        <v>344</v>
      </c>
      <c r="AC20" s="299">
        <v>4.6900000000000004</v>
      </c>
      <c r="AD20" s="310">
        <v>10037</v>
      </c>
      <c r="AE20" s="299">
        <v>190</v>
      </c>
      <c r="AF20" s="311">
        <v>2.93</v>
      </c>
      <c r="AG20" s="312">
        <v>80117</v>
      </c>
      <c r="AH20" s="299">
        <v>3644</v>
      </c>
      <c r="AI20" s="299">
        <v>2.93</v>
      </c>
      <c r="AJ20" s="313">
        <v>52617</v>
      </c>
      <c r="AK20" s="299">
        <v>905</v>
      </c>
      <c r="AL20" s="299">
        <v>2.93</v>
      </c>
      <c r="AM20" s="314">
        <v>7624</v>
      </c>
      <c r="AN20" s="299">
        <v>161</v>
      </c>
      <c r="AO20" s="323">
        <f>2.11-0.03</f>
        <v>2.08</v>
      </c>
      <c r="AP20" s="324">
        <v>479</v>
      </c>
      <c r="AQ20" s="299">
        <v>0</v>
      </c>
      <c r="AR20" s="228">
        <v>2.93</v>
      </c>
    </row>
    <row r="21" spans="1:44" ht="15" customHeight="1" x14ac:dyDescent="0.2">
      <c r="A21" s="66">
        <v>15</v>
      </c>
      <c r="B21" s="67" t="s">
        <v>204</v>
      </c>
      <c r="C21" s="189">
        <f t="shared" si="15"/>
        <v>0</v>
      </c>
      <c r="D21" s="189">
        <f>[4]орех!$C$128</f>
        <v>0</v>
      </c>
      <c r="E21" s="190"/>
      <c r="F21" s="189">
        <f t="shared" si="17"/>
        <v>82.5</v>
      </c>
      <c r="G21" s="189">
        <f>[4]орех!$O$128</f>
        <v>90</v>
      </c>
      <c r="H21" s="191">
        <f t="shared" si="18"/>
        <v>109.1</v>
      </c>
      <c r="I21" s="189">
        <f t="shared" si="19"/>
        <v>1.8333333333333333</v>
      </c>
      <c r="J21" s="189">
        <f>[4]орех!$W$128</f>
        <v>2</v>
      </c>
      <c r="K21" s="191"/>
      <c r="L21" s="189">
        <f t="shared" si="24"/>
        <v>341.91666666666663</v>
      </c>
      <c r="M21" s="189">
        <f>[4]орех!$S$128</f>
        <v>373.06</v>
      </c>
      <c r="N21" s="191">
        <f>ROUND(M21/L21*100,1)</f>
        <v>109.1</v>
      </c>
      <c r="O21" s="189">
        <f t="shared" si="20"/>
        <v>55</v>
      </c>
      <c r="P21" s="189">
        <f>[4]орех!$AA128</f>
        <v>60</v>
      </c>
      <c r="Q21" s="191">
        <f>ROUND(P21/O21*100,1)</f>
        <v>109.1</v>
      </c>
      <c r="R21" s="189">
        <f t="shared" si="22"/>
        <v>0</v>
      </c>
      <c r="S21" s="189">
        <f>[4]орех!$G$128</f>
        <v>0</v>
      </c>
      <c r="T21" s="191"/>
      <c r="U21" s="189">
        <f t="shared" si="23"/>
        <v>0</v>
      </c>
      <c r="V21" s="189"/>
      <c r="W21" s="191"/>
      <c r="X21" s="130">
        <v>535</v>
      </c>
      <c r="Y21" s="299">
        <v>0</v>
      </c>
      <c r="Z21" s="308">
        <v>1.07</v>
      </c>
      <c r="AA21" s="309">
        <v>5000</v>
      </c>
      <c r="AB21" s="299">
        <v>90</v>
      </c>
      <c r="AC21" s="299">
        <v>1.82</v>
      </c>
      <c r="AD21" s="310">
        <v>500</v>
      </c>
      <c r="AE21" s="299">
        <v>2</v>
      </c>
      <c r="AF21" s="311">
        <v>2.85</v>
      </c>
      <c r="AG21" s="312">
        <v>4868</v>
      </c>
      <c r="AH21" s="299">
        <v>373</v>
      </c>
      <c r="AI21" s="299">
        <v>2.85</v>
      </c>
      <c r="AJ21" s="313">
        <v>8960</v>
      </c>
      <c r="AK21" s="299">
        <v>60</v>
      </c>
      <c r="AL21" s="299">
        <v>2.85</v>
      </c>
      <c r="AM21" s="314"/>
      <c r="AN21" s="299">
        <f>ROUND(AM21*AO21/100,0)</f>
        <v>0</v>
      </c>
      <c r="AO21" s="323">
        <v>2.85</v>
      </c>
      <c r="AP21" s="324"/>
      <c r="AQ21" s="299">
        <f>ROUND(AP21*AR21/100,0)</f>
        <v>0</v>
      </c>
      <c r="AR21" s="228">
        <v>2.85</v>
      </c>
    </row>
    <row r="22" spans="1:44" ht="15" customHeight="1" x14ac:dyDescent="0.2">
      <c r="A22" s="66">
        <v>16</v>
      </c>
      <c r="B22" s="67" t="s">
        <v>228</v>
      </c>
      <c r="C22" s="189">
        <f t="shared" si="15"/>
        <v>64.166666666666657</v>
      </c>
      <c r="D22" s="189">
        <f>[2]пар!$C$128</f>
        <v>69</v>
      </c>
      <c r="E22" s="190">
        <f t="shared" si="16"/>
        <v>107.53246753246755</v>
      </c>
      <c r="F22" s="189">
        <f t="shared" si="17"/>
        <v>0</v>
      </c>
      <c r="G22" s="189">
        <f>[2]пар!$O$128</f>
        <v>10</v>
      </c>
      <c r="H22" s="191"/>
      <c r="I22" s="189">
        <f t="shared" si="19"/>
        <v>26.583333333333332</v>
      </c>
      <c r="J22" s="189">
        <f>[2]пар!$W$128</f>
        <v>13</v>
      </c>
      <c r="K22" s="191">
        <f>ROUND(J22/I22*100,1)</f>
        <v>48.9</v>
      </c>
      <c r="L22" s="189">
        <f t="shared" si="24"/>
        <v>381.33333333333331</v>
      </c>
      <c r="M22" s="189">
        <f>[2]пар!$S$128</f>
        <v>360.53999999999996</v>
      </c>
      <c r="N22" s="191">
        <f t="shared" si="12"/>
        <v>94.5</v>
      </c>
      <c r="O22" s="189">
        <f t="shared" si="20"/>
        <v>133.83333333333331</v>
      </c>
      <c r="P22" s="189">
        <f>[2]пар!$AA$128</f>
        <v>110</v>
      </c>
      <c r="Q22" s="191">
        <f t="shared" si="21"/>
        <v>82.2</v>
      </c>
      <c r="R22" s="189">
        <f t="shared" si="22"/>
        <v>15.583333333333334</v>
      </c>
      <c r="S22" s="189">
        <f>[2]пар!$G$128</f>
        <v>15</v>
      </c>
      <c r="T22" s="191">
        <f t="shared" si="13"/>
        <v>96.3</v>
      </c>
      <c r="U22" s="189">
        <f t="shared" si="23"/>
        <v>0</v>
      </c>
      <c r="V22" s="189"/>
      <c r="W22" s="191"/>
      <c r="X22" s="130">
        <v>5100</v>
      </c>
      <c r="Y22" s="299">
        <v>70</v>
      </c>
      <c r="Z22" s="308">
        <v>1.06</v>
      </c>
      <c r="AA22" s="309">
        <v>4500</v>
      </c>
      <c r="AB22" s="299">
        <v>0</v>
      </c>
      <c r="AC22" s="299">
        <v>3.05</v>
      </c>
      <c r="AD22" s="310">
        <v>1545</v>
      </c>
      <c r="AE22" s="299">
        <v>29</v>
      </c>
      <c r="AF22" s="311">
        <v>2.2599999999999998</v>
      </c>
      <c r="AG22" s="312">
        <v>19528</v>
      </c>
      <c r="AH22" s="299">
        <v>416</v>
      </c>
      <c r="AI22" s="299">
        <v>2.2599999999999998</v>
      </c>
      <c r="AJ22" s="313">
        <v>14080</v>
      </c>
      <c r="AK22" s="299">
        <v>146</v>
      </c>
      <c r="AL22" s="299">
        <v>2.2599999999999998</v>
      </c>
      <c r="AM22" s="314">
        <v>1971</v>
      </c>
      <c r="AN22" s="299">
        <v>17</v>
      </c>
      <c r="AO22" s="323">
        <f>1.13+3.17</f>
        <v>4.3</v>
      </c>
      <c r="AP22" s="324"/>
      <c r="AQ22" s="299">
        <f>ROUND(AP22*AR22/100,0)</f>
        <v>0</v>
      </c>
      <c r="AR22" s="228">
        <v>2.2599999999999998</v>
      </c>
    </row>
    <row r="23" spans="1:44" ht="15" customHeight="1" x14ac:dyDescent="0.2">
      <c r="A23" s="66">
        <v>17</v>
      </c>
      <c r="B23" s="67" t="s">
        <v>229</v>
      </c>
      <c r="C23" s="189">
        <f t="shared" si="15"/>
        <v>24.75</v>
      </c>
      <c r="D23" s="189">
        <f>[3]СОЛИГ!$C$128</f>
        <v>20</v>
      </c>
      <c r="E23" s="190">
        <f t="shared" si="16"/>
        <v>80.808080808080803</v>
      </c>
      <c r="F23" s="189">
        <f t="shared" si="17"/>
        <v>23.833333333333332</v>
      </c>
      <c r="G23" s="189">
        <f>[3]СОЛИГ!$O$128</f>
        <v>21</v>
      </c>
      <c r="H23" s="191">
        <f t="shared" si="18"/>
        <v>88.1</v>
      </c>
      <c r="I23" s="189">
        <f t="shared" si="19"/>
        <v>16.5</v>
      </c>
      <c r="J23" s="189">
        <f>[3]СОЛИГ!$W$128</f>
        <v>19</v>
      </c>
      <c r="K23" s="191">
        <f>ROUND(J23/I23*100,1)</f>
        <v>115.2</v>
      </c>
      <c r="L23" s="189">
        <f t="shared" si="24"/>
        <v>207.16666666666666</v>
      </c>
      <c r="M23" s="189">
        <f>[3]СОЛИГ!$S$128</f>
        <v>200.06</v>
      </c>
      <c r="N23" s="191">
        <f t="shared" si="12"/>
        <v>96.6</v>
      </c>
      <c r="O23" s="189">
        <f t="shared" si="20"/>
        <v>38.5</v>
      </c>
      <c r="P23" s="189">
        <f>[3]СОЛИГ!$AA$128</f>
        <v>31</v>
      </c>
      <c r="Q23" s="191">
        <f t="shared" si="21"/>
        <v>80.5</v>
      </c>
      <c r="R23" s="189">
        <f t="shared" si="22"/>
        <v>13.75</v>
      </c>
      <c r="S23" s="189">
        <f>[3]СОЛИГ!$G$128</f>
        <v>14</v>
      </c>
      <c r="T23" s="191">
        <f t="shared" si="13"/>
        <v>101.8</v>
      </c>
      <c r="U23" s="189">
        <f t="shared" si="23"/>
        <v>0</v>
      </c>
      <c r="V23" s="189"/>
      <c r="W23" s="191"/>
      <c r="X23" s="130">
        <v>4100</v>
      </c>
      <c r="Y23" s="299">
        <v>27</v>
      </c>
      <c r="Z23" s="308">
        <v>1.79</v>
      </c>
      <c r="AA23" s="309">
        <v>5000</v>
      </c>
      <c r="AB23" s="299">
        <v>26</v>
      </c>
      <c r="AC23" s="299">
        <v>1.04</v>
      </c>
      <c r="AD23" s="310">
        <v>2100</v>
      </c>
      <c r="AE23" s="299">
        <v>18</v>
      </c>
      <c r="AF23" s="311">
        <v>1.31</v>
      </c>
      <c r="AG23" s="312">
        <v>20592</v>
      </c>
      <c r="AH23" s="299">
        <v>226</v>
      </c>
      <c r="AI23" s="299">
        <v>1.31</v>
      </c>
      <c r="AJ23" s="313">
        <v>13046</v>
      </c>
      <c r="AK23" s="299">
        <v>42</v>
      </c>
      <c r="AL23" s="299">
        <v>1.31</v>
      </c>
      <c r="AM23" s="314">
        <v>2994</v>
      </c>
      <c r="AN23" s="299">
        <v>15</v>
      </c>
      <c r="AO23" s="323">
        <f>0.34+10.84</f>
        <v>11.18</v>
      </c>
      <c r="AP23" s="324"/>
      <c r="AQ23" s="299">
        <f>ROUND(AP23*AR23/100,0)</f>
        <v>0</v>
      </c>
      <c r="AR23" s="228">
        <v>1.31</v>
      </c>
    </row>
    <row r="24" spans="1:44" ht="15" customHeight="1" x14ac:dyDescent="0.2">
      <c r="A24" s="66">
        <v>18</v>
      </c>
      <c r="B24" s="67" t="s">
        <v>230</v>
      </c>
      <c r="C24" s="189">
        <f t="shared" si="15"/>
        <v>121.91666666666667</v>
      </c>
      <c r="D24" s="189">
        <f>[4]чухлом!$C$128</f>
        <v>105</v>
      </c>
      <c r="E24" s="190">
        <f t="shared" si="16"/>
        <v>86.124401913875587</v>
      </c>
      <c r="F24" s="189">
        <f t="shared" si="17"/>
        <v>21.083333333333336</v>
      </c>
      <c r="G24" s="189">
        <f>[4]чухлом!$O$128</f>
        <v>8</v>
      </c>
      <c r="H24" s="191">
        <f t="shared" si="18"/>
        <v>37.9</v>
      </c>
      <c r="I24" s="189">
        <f t="shared" si="19"/>
        <v>41.25</v>
      </c>
      <c r="J24" s="189">
        <f>[4]чухлом!$W$128</f>
        <v>11</v>
      </c>
      <c r="K24" s="191"/>
      <c r="L24" s="189">
        <f t="shared" si="24"/>
        <v>534.41666666666674</v>
      </c>
      <c r="M24" s="189">
        <f>[4]чухлом!$S$128</f>
        <v>576.87</v>
      </c>
      <c r="N24" s="191">
        <f>ROUND(M24/L24*100,1)</f>
        <v>107.9</v>
      </c>
      <c r="O24" s="189">
        <f t="shared" si="20"/>
        <v>86.166666666666657</v>
      </c>
      <c r="P24" s="189">
        <f>[4]чухлом!$AA$128</f>
        <v>93</v>
      </c>
      <c r="Q24" s="191">
        <f>ROUND(P24/O24*100,1)</f>
        <v>107.9</v>
      </c>
      <c r="R24" s="189">
        <f t="shared" si="22"/>
        <v>42.166666666666671</v>
      </c>
      <c r="S24" s="189">
        <f>[4]чухлом!$G$128</f>
        <v>38</v>
      </c>
      <c r="T24" s="191">
        <f>ROUND(S24/R24*100,1)</f>
        <v>90.1</v>
      </c>
      <c r="U24" s="189">
        <f t="shared" si="23"/>
        <v>0</v>
      </c>
      <c r="V24" s="189"/>
      <c r="W24" s="191"/>
      <c r="X24" s="130">
        <v>7100</v>
      </c>
      <c r="Y24" s="299">
        <v>133</v>
      </c>
      <c r="Z24" s="308">
        <v>2.06</v>
      </c>
      <c r="AA24" s="309">
        <v>3500</v>
      </c>
      <c r="AB24" s="299">
        <v>23</v>
      </c>
      <c r="AC24" s="299">
        <v>0.95</v>
      </c>
      <c r="AD24" s="310">
        <v>1000</v>
      </c>
      <c r="AE24" s="299">
        <v>45</v>
      </c>
      <c r="AF24" s="311">
        <v>1.5</v>
      </c>
      <c r="AG24" s="312">
        <v>47072</v>
      </c>
      <c r="AH24" s="299">
        <v>583</v>
      </c>
      <c r="AI24" s="299">
        <v>1.5</v>
      </c>
      <c r="AJ24" s="313">
        <v>14232</v>
      </c>
      <c r="AK24" s="299">
        <v>94</v>
      </c>
      <c r="AL24" s="299">
        <v>1.5</v>
      </c>
      <c r="AM24" s="314">
        <v>3477</v>
      </c>
      <c r="AN24" s="299">
        <v>46</v>
      </c>
      <c r="AO24" s="323">
        <f>1.08+5.81</f>
        <v>6.89</v>
      </c>
      <c r="AP24" s="324"/>
      <c r="AQ24" s="299">
        <f>ROUND(AP24*AR24/100,0)</f>
        <v>0</v>
      </c>
      <c r="AR24" s="228">
        <v>1.5</v>
      </c>
    </row>
    <row r="25" spans="1:44" ht="15" customHeight="1" x14ac:dyDescent="0.2">
      <c r="A25" s="274"/>
      <c r="B25" s="278" t="s">
        <v>247</v>
      </c>
      <c r="C25" s="189">
        <f t="shared" si="15"/>
        <v>1628</v>
      </c>
      <c r="D25" s="189">
        <f>[2]сус!$C$128</f>
        <v>1245</v>
      </c>
      <c r="E25" s="190">
        <f>D25/C25*100</f>
        <v>76.474201474201479</v>
      </c>
      <c r="F25" s="189">
        <f t="shared" si="17"/>
        <v>1917.6666666666667</v>
      </c>
      <c r="G25" s="189">
        <f>[2]сус!$O$128</f>
        <v>1774</v>
      </c>
      <c r="H25" s="191">
        <f t="shared" si="18"/>
        <v>92.5</v>
      </c>
      <c r="I25" s="189">
        <f t="shared" si="19"/>
        <v>1331.9166666666665</v>
      </c>
      <c r="J25" s="189">
        <f>[2]сус!$W$128</f>
        <v>525</v>
      </c>
      <c r="K25" s="191">
        <f>ROUND(J25/I25*100,1)</f>
        <v>39.4</v>
      </c>
      <c r="L25" s="189">
        <f t="shared" si="24"/>
        <v>13550.166666666666</v>
      </c>
      <c r="M25" s="189">
        <f>[2]сус!$S$128</f>
        <v>13037.45</v>
      </c>
      <c r="N25" s="191">
        <f>ROUND(M25/L25*100,1)</f>
        <v>96.2</v>
      </c>
      <c r="O25" s="189">
        <f t="shared" si="20"/>
        <v>6531.25</v>
      </c>
      <c r="P25" s="189">
        <f>[2]сус!$AA$128</f>
        <v>5251</v>
      </c>
      <c r="Q25" s="191">
        <f>ROUND(P25/O25*100,1)</f>
        <v>80.400000000000006</v>
      </c>
      <c r="R25" s="189">
        <f t="shared" si="22"/>
        <v>563.75</v>
      </c>
      <c r="S25" s="189">
        <f>[2]сус!$G$128</f>
        <v>517</v>
      </c>
      <c r="T25" s="191">
        <f>ROUND(S25/R25*100,1)</f>
        <v>91.7</v>
      </c>
      <c r="U25" s="189">
        <f t="shared" si="23"/>
        <v>0</v>
      </c>
      <c r="V25" s="189">
        <f>[4]Гал!$K$128</f>
        <v>0</v>
      </c>
      <c r="W25" s="191"/>
      <c r="X25" s="130">
        <v>3100</v>
      </c>
      <c r="Y25" s="299">
        <v>1776</v>
      </c>
      <c r="Z25" s="308">
        <v>53</v>
      </c>
      <c r="AA25" s="309">
        <v>2600</v>
      </c>
      <c r="AB25" s="299">
        <v>2092</v>
      </c>
      <c r="AC25" s="299">
        <v>64.680000000000007</v>
      </c>
      <c r="AD25" s="310">
        <v>2000</v>
      </c>
      <c r="AE25" s="299">
        <v>1453</v>
      </c>
      <c r="AF25" s="311">
        <v>50.94</v>
      </c>
      <c r="AG25" s="312">
        <v>18828</v>
      </c>
      <c r="AH25" s="299">
        <v>14782</v>
      </c>
      <c r="AI25" s="299">
        <v>50.94</v>
      </c>
      <c r="AJ25" s="313">
        <v>10328</v>
      </c>
      <c r="AK25" s="299">
        <v>7125</v>
      </c>
      <c r="AL25" s="299">
        <v>50.94</v>
      </c>
      <c r="AM25" s="314">
        <v>2330</v>
      </c>
      <c r="AN25" s="299">
        <v>615</v>
      </c>
      <c r="AO25" s="323">
        <f>16.25+21.96</f>
        <v>38.21</v>
      </c>
      <c r="AP25" s="324"/>
      <c r="AQ25" s="299">
        <f>ROUND(AP25*AR25/100,0)</f>
        <v>0</v>
      </c>
      <c r="AR25" s="228">
        <v>50.94</v>
      </c>
    </row>
    <row r="26" spans="1:44" ht="15" customHeight="1" x14ac:dyDescent="0.25">
      <c r="A26" s="391" t="s">
        <v>272</v>
      </c>
      <c r="B26" s="392"/>
      <c r="C26" s="192">
        <f>SUM(C27:C33)</f>
        <v>16055.416666666666</v>
      </c>
      <c r="D26" s="192">
        <f>SUM(D27:D33)</f>
        <v>15036</v>
      </c>
      <c r="E26" s="187">
        <f>ROUND(D26/C26*100,1)</f>
        <v>93.7</v>
      </c>
      <c r="F26" s="192">
        <f>SUM(F27:F33)</f>
        <v>10417</v>
      </c>
      <c r="G26" s="192">
        <f>SUM(G27:G33)</f>
        <v>9041</v>
      </c>
      <c r="H26" s="188">
        <f>ROUND(G26/F26*100,1)</f>
        <v>86.8</v>
      </c>
      <c r="I26" s="192">
        <f>SUM(I27:I33)</f>
        <v>2559.3333333333335</v>
      </c>
      <c r="J26" s="192">
        <f>SUM(J27:J33)</f>
        <v>995</v>
      </c>
      <c r="K26" s="193">
        <f>ROUND(J26/I26*100,1)</f>
        <v>38.9</v>
      </c>
      <c r="L26" s="192">
        <f>SUM(L27:L33)</f>
        <v>64470.083333333343</v>
      </c>
      <c r="M26" s="192">
        <f>SUM(M27:M33)</f>
        <v>62196.97</v>
      </c>
      <c r="N26" s="193">
        <f>ROUND(M26/L26*100,1)</f>
        <v>96.5</v>
      </c>
      <c r="O26" s="192">
        <f>SUM(O27:O33)</f>
        <v>23835.166666666668</v>
      </c>
      <c r="P26" s="192">
        <f>SUM(P27:P33)</f>
        <v>19841</v>
      </c>
      <c r="Q26" s="193">
        <f>ROUND(P26/O26*100,1)</f>
        <v>83.2</v>
      </c>
      <c r="R26" s="192">
        <f>SUM(R27:R33)</f>
        <v>4202.916666666667</v>
      </c>
      <c r="S26" s="192">
        <f>SUM(S27:S33)</f>
        <v>3919</v>
      </c>
      <c r="T26" s="193">
        <f>ROUND(S26/R26*100,1)</f>
        <v>93.2</v>
      </c>
      <c r="U26" s="192">
        <f>SUM(U27:U33)</f>
        <v>0</v>
      </c>
      <c r="V26" s="192">
        <f>SUM(V27:V33)</f>
        <v>0</v>
      </c>
      <c r="W26" s="276"/>
      <c r="X26" s="192">
        <f t="shared" ref="X26:AR26" si="25">SUM(X27:X33)</f>
        <v>88500</v>
      </c>
      <c r="Y26" s="305">
        <f t="shared" si="25"/>
        <v>17515</v>
      </c>
      <c r="Z26" s="305">
        <f t="shared" si="25"/>
        <v>118.02000000000001</v>
      </c>
      <c r="AA26" s="305">
        <f t="shared" si="25"/>
        <v>48900</v>
      </c>
      <c r="AB26" s="305">
        <f t="shared" si="25"/>
        <v>11364</v>
      </c>
      <c r="AC26" s="305">
        <f t="shared" si="25"/>
        <v>158.32</v>
      </c>
      <c r="AD26" s="305">
        <f t="shared" si="25"/>
        <v>9252</v>
      </c>
      <c r="AE26" s="305">
        <f t="shared" si="25"/>
        <v>2792</v>
      </c>
      <c r="AF26" s="305">
        <f t="shared" si="25"/>
        <v>143.45999999999998</v>
      </c>
      <c r="AG26" s="305">
        <f t="shared" si="25"/>
        <v>233318</v>
      </c>
      <c r="AH26" s="305">
        <f t="shared" si="25"/>
        <v>70331</v>
      </c>
      <c r="AI26" s="305">
        <f t="shared" si="25"/>
        <v>143.45999999999998</v>
      </c>
      <c r="AJ26" s="305">
        <f t="shared" si="25"/>
        <v>120012</v>
      </c>
      <c r="AK26" s="305">
        <f t="shared" si="25"/>
        <v>26002</v>
      </c>
      <c r="AL26" s="305">
        <f t="shared" si="25"/>
        <v>143.45999999999998</v>
      </c>
      <c r="AM26" s="305">
        <f t="shared" si="25"/>
        <v>21399</v>
      </c>
      <c r="AN26" s="305">
        <f t="shared" si="25"/>
        <v>4585</v>
      </c>
      <c r="AO26" s="305">
        <f>SUM(AO27:AO33)</f>
        <v>154.81</v>
      </c>
      <c r="AP26" s="305">
        <f t="shared" si="25"/>
        <v>0</v>
      </c>
      <c r="AQ26" s="305">
        <f t="shared" si="25"/>
        <v>0</v>
      </c>
      <c r="AR26" s="192">
        <f t="shared" si="25"/>
        <v>143.45999999999998</v>
      </c>
    </row>
    <row r="27" spans="1:44" ht="15" customHeight="1" x14ac:dyDescent="0.2">
      <c r="A27" s="66">
        <v>169</v>
      </c>
      <c r="B27" s="67" t="s">
        <v>231</v>
      </c>
      <c r="C27" s="189">
        <f t="shared" ref="C27:C33" si="26">Y27/12*11</f>
        <v>203.5</v>
      </c>
      <c r="D27" s="189">
        <f>[4]кадый!$C$128</f>
        <v>153</v>
      </c>
      <c r="E27" s="190">
        <f t="shared" si="16"/>
        <v>75.18427518427518</v>
      </c>
      <c r="F27" s="189">
        <f t="shared" ref="F27:F33" si="27">AB27/12*11</f>
        <v>362.08333333333331</v>
      </c>
      <c r="G27" s="189">
        <f>[4]кадый!$O$128</f>
        <v>313</v>
      </c>
      <c r="H27" s="191">
        <f t="shared" si="18"/>
        <v>86.4</v>
      </c>
      <c r="I27" s="189">
        <f t="shared" ref="I27:I33" si="28">AE27/12*11</f>
        <v>201.66666666666666</v>
      </c>
      <c r="J27" s="189">
        <f>[4]кадый!$W$128</f>
        <v>118</v>
      </c>
      <c r="K27" s="191">
        <f t="shared" ref="K27:K33" si="29">ROUND(J27/I27*100,1)</f>
        <v>58.5</v>
      </c>
      <c r="L27" s="189">
        <f t="shared" ref="L27:L33" si="30">AH27/12*11</f>
        <v>1492.3333333333333</v>
      </c>
      <c r="M27" s="189">
        <f>[4]кадый!$S$128</f>
        <v>1416.7299999999998</v>
      </c>
      <c r="N27" s="191">
        <f>ROUND(M27/L27*100,1)</f>
        <v>94.9</v>
      </c>
      <c r="O27" s="189">
        <f t="shared" ref="O27:O33" si="31">AK27/12*11</f>
        <v>503.25</v>
      </c>
      <c r="P27" s="189">
        <f>[4]кадый!$AA$128</f>
        <v>432</v>
      </c>
      <c r="Q27" s="191">
        <f>ROUND(P27/O27*100,1)</f>
        <v>85.8</v>
      </c>
      <c r="R27" s="189">
        <f t="shared" ref="R27:R33" si="32">AN27/12*11</f>
        <v>62.333333333333336</v>
      </c>
      <c r="S27" s="189">
        <f>[4]кадый!$G$128</f>
        <v>59</v>
      </c>
      <c r="T27" s="191">
        <f>ROUND(S27/R27*100,1)</f>
        <v>94.7</v>
      </c>
      <c r="U27" s="189">
        <f t="shared" ref="U27:U33" si="33">AQ27/12*11</f>
        <v>0</v>
      </c>
      <c r="V27" s="189"/>
      <c r="W27" s="191"/>
      <c r="X27" s="130">
        <v>6000</v>
      </c>
      <c r="Y27" s="299">
        <v>222</v>
      </c>
      <c r="Z27" s="308">
        <v>3.81</v>
      </c>
      <c r="AA27" s="309">
        <v>5250</v>
      </c>
      <c r="AB27" s="299">
        <v>395</v>
      </c>
      <c r="AC27" s="299">
        <v>7.29</v>
      </c>
      <c r="AD27" s="310">
        <v>2000</v>
      </c>
      <c r="AE27" s="299">
        <v>220</v>
      </c>
      <c r="AF27" s="311">
        <v>7.19</v>
      </c>
      <c r="AG27" s="312">
        <v>20957</v>
      </c>
      <c r="AH27" s="299">
        <v>1628</v>
      </c>
      <c r="AI27" s="299">
        <v>7.19</v>
      </c>
      <c r="AJ27" s="313">
        <v>13342</v>
      </c>
      <c r="AK27" s="299">
        <v>549</v>
      </c>
      <c r="AL27" s="299">
        <v>7.19</v>
      </c>
      <c r="AM27" s="314">
        <v>2141</v>
      </c>
      <c r="AN27" s="299">
        <v>68</v>
      </c>
      <c r="AO27" s="323">
        <f>3.12+2.45</f>
        <v>5.57</v>
      </c>
      <c r="AP27" s="324"/>
      <c r="AQ27" s="299">
        <f t="shared" ref="AQ27:AQ33" si="34">ROUND(AP27*AR27/100,0)</f>
        <v>0</v>
      </c>
      <c r="AR27" s="228">
        <v>7.19</v>
      </c>
    </row>
    <row r="28" spans="1:44" ht="15" customHeight="1" x14ac:dyDescent="0.2">
      <c r="A28" s="66">
        <v>20</v>
      </c>
      <c r="B28" s="67" t="s">
        <v>232</v>
      </c>
      <c r="C28" s="189">
        <f t="shared" si="26"/>
        <v>1316.3333333333335</v>
      </c>
      <c r="D28" s="189">
        <f>[2]кол!$C$128</f>
        <v>1056</v>
      </c>
      <c r="E28" s="190">
        <f t="shared" si="16"/>
        <v>80.222841225626723</v>
      </c>
      <c r="F28" s="189">
        <f t="shared" si="27"/>
        <v>1002.8333333333334</v>
      </c>
      <c r="G28" s="189">
        <f>[2]кол!$O$128</f>
        <v>628</v>
      </c>
      <c r="H28" s="191">
        <f t="shared" si="18"/>
        <v>62.6</v>
      </c>
      <c r="I28" s="189">
        <f t="shared" si="28"/>
        <v>579.33333333333326</v>
      </c>
      <c r="J28" s="189">
        <f>[2]кол!$W$128</f>
        <v>128</v>
      </c>
      <c r="K28" s="191">
        <f t="shared" si="29"/>
        <v>22.1</v>
      </c>
      <c r="L28" s="189">
        <f t="shared" si="30"/>
        <v>8613</v>
      </c>
      <c r="M28" s="189">
        <f>[2]кол!$S$128</f>
        <v>7606.79</v>
      </c>
      <c r="N28" s="191">
        <f t="shared" si="12"/>
        <v>88.3</v>
      </c>
      <c r="O28" s="189">
        <f t="shared" si="31"/>
        <v>1826.9166666666667</v>
      </c>
      <c r="P28" s="189">
        <f>[2]кол!$AA$128</f>
        <v>1630</v>
      </c>
      <c r="Q28" s="191">
        <f t="shared" si="21"/>
        <v>89.2</v>
      </c>
      <c r="R28" s="189">
        <f t="shared" si="32"/>
        <v>944.16666666666663</v>
      </c>
      <c r="S28" s="189">
        <f>[2]кол!$G$128</f>
        <v>866</v>
      </c>
      <c r="T28" s="191">
        <f t="shared" si="13"/>
        <v>91.7</v>
      </c>
      <c r="U28" s="189">
        <f t="shared" si="33"/>
        <v>0</v>
      </c>
      <c r="V28" s="189"/>
      <c r="W28" s="191"/>
      <c r="X28" s="130">
        <v>3000</v>
      </c>
      <c r="Y28" s="299">
        <v>1436</v>
      </c>
      <c r="Z28" s="308">
        <v>40.76</v>
      </c>
      <c r="AA28" s="309">
        <v>4250</v>
      </c>
      <c r="AB28" s="299">
        <v>1094</v>
      </c>
      <c r="AC28" s="299">
        <v>39.28</v>
      </c>
      <c r="AD28" s="310">
        <v>534</v>
      </c>
      <c r="AE28" s="299">
        <v>632</v>
      </c>
      <c r="AF28" s="311">
        <v>46.1</v>
      </c>
      <c r="AG28" s="312">
        <v>21637</v>
      </c>
      <c r="AH28" s="299">
        <v>9396</v>
      </c>
      <c r="AI28" s="299">
        <v>46.1</v>
      </c>
      <c r="AJ28" s="313">
        <v>6930</v>
      </c>
      <c r="AK28" s="299">
        <v>1993</v>
      </c>
      <c r="AL28" s="299">
        <v>46.1</v>
      </c>
      <c r="AM28" s="314">
        <v>1906</v>
      </c>
      <c r="AN28" s="299">
        <v>1030</v>
      </c>
      <c r="AO28" s="323">
        <v>38.03</v>
      </c>
      <c r="AP28" s="324"/>
      <c r="AQ28" s="299">
        <f t="shared" si="34"/>
        <v>0</v>
      </c>
      <c r="AR28" s="228">
        <v>46.1</v>
      </c>
    </row>
    <row r="29" spans="1:44" ht="15" customHeight="1" x14ac:dyDescent="0.2">
      <c r="A29" s="66">
        <v>21</v>
      </c>
      <c r="B29" s="67" t="s">
        <v>233</v>
      </c>
      <c r="C29" s="189">
        <f t="shared" si="26"/>
        <v>801.16666666666663</v>
      </c>
      <c r="D29" s="189">
        <f>[3]МАК!$C$128</f>
        <v>717</v>
      </c>
      <c r="E29" s="190">
        <f t="shared" si="16"/>
        <v>89.494487206157686</v>
      </c>
      <c r="F29" s="189">
        <f t="shared" si="27"/>
        <v>1320</v>
      </c>
      <c r="G29" s="189">
        <f>[3]МАК!$O$128</f>
        <v>1117</v>
      </c>
      <c r="H29" s="191">
        <f t="shared" si="18"/>
        <v>84.6</v>
      </c>
      <c r="I29" s="189">
        <f t="shared" si="28"/>
        <v>78.833333333333343</v>
      </c>
      <c r="J29" s="189">
        <f>[3]МАК!$W$128</f>
        <v>35</v>
      </c>
      <c r="K29" s="191">
        <f t="shared" si="29"/>
        <v>44.4</v>
      </c>
      <c r="L29" s="189">
        <f t="shared" si="30"/>
        <v>8996.1666666666679</v>
      </c>
      <c r="M29" s="189">
        <f>[3]МАК!$S$128</f>
        <v>8022.74</v>
      </c>
      <c r="N29" s="191">
        <f t="shared" si="12"/>
        <v>89.2</v>
      </c>
      <c r="O29" s="189">
        <f t="shared" si="31"/>
        <v>2857.25</v>
      </c>
      <c r="P29" s="189">
        <f>[3]МАК!$AA$128</f>
        <v>2180</v>
      </c>
      <c r="Q29" s="191">
        <f t="shared" si="21"/>
        <v>76.3</v>
      </c>
      <c r="R29" s="189">
        <f t="shared" si="32"/>
        <v>355.66666666666669</v>
      </c>
      <c r="S29" s="189">
        <f>[3]МАК!$G$128</f>
        <v>335</v>
      </c>
      <c r="T29" s="191">
        <f t="shared" si="13"/>
        <v>94.2</v>
      </c>
      <c r="U29" s="189">
        <f t="shared" si="33"/>
        <v>0</v>
      </c>
      <c r="V29" s="189"/>
      <c r="W29" s="191"/>
      <c r="X29" s="130">
        <v>12000</v>
      </c>
      <c r="Y29" s="299">
        <v>874</v>
      </c>
      <c r="Z29" s="308">
        <v>8.49</v>
      </c>
      <c r="AA29" s="309">
        <v>12900</v>
      </c>
      <c r="AB29" s="299">
        <v>1440</v>
      </c>
      <c r="AC29" s="299">
        <v>16.14</v>
      </c>
      <c r="AD29" s="310">
        <v>1000</v>
      </c>
      <c r="AE29" s="299">
        <v>86</v>
      </c>
      <c r="AF29" s="311">
        <v>8.81</v>
      </c>
      <c r="AG29" s="312">
        <v>39625</v>
      </c>
      <c r="AH29" s="299">
        <v>9814</v>
      </c>
      <c r="AI29" s="299">
        <v>8.81</v>
      </c>
      <c r="AJ29" s="313">
        <v>29062</v>
      </c>
      <c r="AK29" s="299">
        <v>3117</v>
      </c>
      <c r="AL29" s="299">
        <v>8.81</v>
      </c>
      <c r="AM29" s="314">
        <v>4712</v>
      </c>
      <c r="AN29" s="299">
        <v>388</v>
      </c>
      <c r="AO29" s="323">
        <v>6.91</v>
      </c>
      <c r="AP29" s="324"/>
      <c r="AQ29" s="299">
        <f t="shared" si="34"/>
        <v>0</v>
      </c>
      <c r="AR29" s="228">
        <v>8.81</v>
      </c>
    </row>
    <row r="30" spans="1:44" ht="15" customHeight="1" x14ac:dyDescent="0.2">
      <c r="A30" s="66">
        <v>22</v>
      </c>
      <c r="B30" s="67" t="s">
        <v>205</v>
      </c>
      <c r="C30" s="189">
        <f t="shared" si="26"/>
        <v>3422.8333333333335</v>
      </c>
      <c r="D30" s="189">
        <f>[3]МАНТ!$C$128</f>
        <v>3316</v>
      </c>
      <c r="E30" s="190">
        <f t="shared" si="16"/>
        <v>96.878804109655732</v>
      </c>
      <c r="F30" s="189">
        <f t="shared" si="27"/>
        <v>454.66666666666669</v>
      </c>
      <c r="G30" s="189">
        <f>[3]МАНТ!$O$128</f>
        <v>293</v>
      </c>
      <c r="H30" s="191">
        <f t="shared" si="18"/>
        <v>64.400000000000006</v>
      </c>
      <c r="I30" s="189">
        <f t="shared" si="28"/>
        <v>12.833333333333334</v>
      </c>
      <c r="J30" s="189">
        <f>[3]МАНТ!$W$128</f>
        <v>10</v>
      </c>
      <c r="K30" s="191">
        <f t="shared" si="29"/>
        <v>77.900000000000006</v>
      </c>
      <c r="L30" s="189">
        <f t="shared" si="30"/>
        <v>3966.4166666666665</v>
      </c>
      <c r="M30" s="189">
        <f>[3]МАНТ!$S$128</f>
        <v>3604.11</v>
      </c>
      <c r="N30" s="191">
        <f t="shared" si="12"/>
        <v>90.9</v>
      </c>
      <c r="O30" s="189">
        <f t="shared" si="31"/>
        <v>858</v>
      </c>
      <c r="P30" s="189">
        <f>[3]МАНТ!$AA$128</f>
        <v>685</v>
      </c>
      <c r="Q30" s="191">
        <f t="shared" si="21"/>
        <v>79.8</v>
      </c>
      <c r="R30" s="189">
        <f t="shared" si="32"/>
        <v>123.75</v>
      </c>
      <c r="S30" s="189">
        <f>[3]МАНТ!$G$128</f>
        <v>120</v>
      </c>
      <c r="T30" s="191">
        <f t="shared" si="13"/>
        <v>97</v>
      </c>
      <c r="U30" s="189">
        <f t="shared" si="33"/>
        <v>0</v>
      </c>
      <c r="V30" s="189"/>
      <c r="W30" s="191"/>
      <c r="X30" s="130">
        <v>45000</v>
      </c>
      <c r="Y30" s="299">
        <v>3734</v>
      </c>
      <c r="Z30" s="308">
        <v>9.17</v>
      </c>
      <c r="AA30" s="309">
        <v>9250</v>
      </c>
      <c r="AB30" s="299">
        <v>496</v>
      </c>
      <c r="AC30" s="299">
        <v>5.0999999999999996</v>
      </c>
      <c r="AD30" s="310">
        <v>2000</v>
      </c>
      <c r="AE30" s="299">
        <v>14</v>
      </c>
      <c r="AF30" s="311">
        <v>5.4</v>
      </c>
      <c r="AG30" s="312">
        <v>67616</v>
      </c>
      <c r="AH30" s="299">
        <v>4327</v>
      </c>
      <c r="AI30" s="299">
        <v>5.4</v>
      </c>
      <c r="AJ30" s="313">
        <v>28147</v>
      </c>
      <c r="AK30" s="299">
        <v>936</v>
      </c>
      <c r="AL30" s="299">
        <v>5.4</v>
      </c>
      <c r="AM30" s="314">
        <v>7079</v>
      </c>
      <c r="AN30" s="299">
        <v>135</v>
      </c>
      <c r="AO30" s="323">
        <f>1.5+1.88</f>
        <v>3.38</v>
      </c>
      <c r="AP30" s="324"/>
      <c r="AQ30" s="299">
        <f t="shared" si="34"/>
        <v>0</v>
      </c>
      <c r="AR30" s="228">
        <v>5.4</v>
      </c>
    </row>
    <row r="31" spans="1:44" ht="15" customHeight="1" x14ac:dyDescent="0.2">
      <c r="A31" s="66">
        <v>23</v>
      </c>
      <c r="B31" s="67" t="s">
        <v>206</v>
      </c>
      <c r="C31" s="189">
        <f t="shared" si="26"/>
        <v>0</v>
      </c>
      <c r="D31" s="189">
        <f>[2]спас!$C$128</f>
        <v>0</v>
      </c>
      <c r="E31" s="190"/>
      <c r="F31" s="189">
        <f t="shared" si="27"/>
        <v>0</v>
      </c>
      <c r="G31" s="189">
        <f>[2]спас!$O$128</f>
        <v>0</v>
      </c>
      <c r="H31" s="191"/>
      <c r="I31" s="189">
        <f t="shared" si="28"/>
        <v>14.666666666666666</v>
      </c>
      <c r="J31" s="189">
        <f>[2]спас!$W$128</f>
        <v>2</v>
      </c>
      <c r="K31" s="191">
        <f t="shared" si="29"/>
        <v>13.6</v>
      </c>
      <c r="L31" s="189">
        <f t="shared" si="30"/>
        <v>57.75</v>
      </c>
      <c r="M31" s="189">
        <f>[2]спас!$S$128</f>
        <v>65.92</v>
      </c>
      <c r="N31" s="191">
        <f t="shared" si="12"/>
        <v>114.1</v>
      </c>
      <c r="O31" s="189">
        <f t="shared" si="31"/>
        <v>25.666666666666668</v>
      </c>
      <c r="P31" s="189">
        <f>[2]спас!$AA$128</f>
        <v>11</v>
      </c>
      <c r="Q31" s="191">
        <f t="shared" si="21"/>
        <v>42.9</v>
      </c>
      <c r="R31" s="189">
        <f t="shared" si="32"/>
        <v>0</v>
      </c>
      <c r="S31" s="189">
        <f>[2]спас!$G$128</f>
        <v>0</v>
      </c>
      <c r="T31" s="191"/>
      <c r="U31" s="189">
        <f t="shared" si="33"/>
        <v>0</v>
      </c>
      <c r="V31" s="189"/>
      <c r="W31" s="191"/>
      <c r="X31" s="130"/>
      <c r="Y31" s="299"/>
      <c r="Z31" s="308"/>
      <c r="AA31" s="309">
        <v>3250</v>
      </c>
      <c r="AB31" s="299">
        <v>0</v>
      </c>
      <c r="AC31" s="299">
        <v>1.91</v>
      </c>
      <c r="AD31" s="310">
        <v>1318</v>
      </c>
      <c r="AE31" s="299">
        <v>16</v>
      </c>
      <c r="AF31" s="311">
        <v>0.71</v>
      </c>
      <c r="AG31" s="312">
        <v>10004</v>
      </c>
      <c r="AH31" s="299">
        <v>63</v>
      </c>
      <c r="AI31" s="299">
        <v>0.71</v>
      </c>
      <c r="AJ31" s="313">
        <v>5549</v>
      </c>
      <c r="AK31" s="299">
        <v>28</v>
      </c>
      <c r="AL31" s="299">
        <v>0.71</v>
      </c>
      <c r="AM31" s="314"/>
      <c r="AN31" s="299">
        <f>ROUND(AM31*AO31/100,0)</f>
        <v>0</v>
      </c>
      <c r="AO31" s="323">
        <v>0.71</v>
      </c>
      <c r="AP31" s="324"/>
      <c r="AQ31" s="299">
        <f t="shared" si="34"/>
        <v>0</v>
      </c>
      <c r="AR31" s="228">
        <v>0.71</v>
      </c>
    </row>
    <row r="32" spans="1:44" ht="15" customHeight="1" x14ac:dyDescent="0.2">
      <c r="A32" s="66">
        <v>24</v>
      </c>
      <c r="B32" s="67" t="s">
        <v>234</v>
      </c>
      <c r="C32" s="189">
        <f t="shared" si="26"/>
        <v>825</v>
      </c>
      <c r="D32" s="189">
        <f>[4]межа!$C$128</f>
        <v>560</v>
      </c>
      <c r="E32" s="190">
        <f t="shared" si="16"/>
        <v>67.87878787878789</v>
      </c>
      <c r="F32" s="189">
        <f t="shared" si="27"/>
        <v>1757.25</v>
      </c>
      <c r="G32" s="189">
        <f>[4]межа!$O$128</f>
        <v>1540</v>
      </c>
      <c r="H32" s="191">
        <f t="shared" si="18"/>
        <v>87.6</v>
      </c>
      <c r="I32" s="189">
        <f t="shared" si="28"/>
        <v>581.16666666666674</v>
      </c>
      <c r="J32" s="189">
        <f>[4]межа!$W$128</f>
        <v>362</v>
      </c>
      <c r="K32" s="191">
        <f t="shared" si="29"/>
        <v>62.3</v>
      </c>
      <c r="L32" s="189">
        <f t="shared" si="30"/>
        <v>7370</v>
      </c>
      <c r="M32" s="189">
        <f>[4]межа!$S$128</f>
        <v>6628.52</v>
      </c>
      <c r="N32" s="191">
        <f>ROUND(M32/L32*100,1)</f>
        <v>89.9</v>
      </c>
      <c r="O32" s="189">
        <f t="shared" si="31"/>
        <v>3253.25</v>
      </c>
      <c r="P32" s="189">
        <f>[4]межа!$AA$128</f>
        <v>2467</v>
      </c>
      <c r="Q32" s="191">
        <f>ROUND(P32/O32*100,1)</f>
        <v>75.8</v>
      </c>
      <c r="R32" s="189">
        <f t="shared" si="32"/>
        <v>596.75</v>
      </c>
      <c r="S32" s="189">
        <f>[4]межа!$G$128</f>
        <v>523</v>
      </c>
      <c r="T32" s="191">
        <f>ROUND(S32/R32*100,1)</f>
        <v>87.6</v>
      </c>
      <c r="U32" s="189">
        <f t="shared" si="33"/>
        <v>0</v>
      </c>
      <c r="V32" s="189"/>
      <c r="W32" s="191"/>
      <c r="X32" s="130">
        <v>3500</v>
      </c>
      <c r="Y32" s="299">
        <v>900</v>
      </c>
      <c r="Z32" s="308">
        <v>18.54</v>
      </c>
      <c r="AA32" s="309">
        <v>4500</v>
      </c>
      <c r="AB32" s="299">
        <v>1917</v>
      </c>
      <c r="AC32" s="299">
        <v>41.86</v>
      </c>
      <c r="AD32" s="310">
        <v>1400</v>
      </c>
      <c r="AE32" s="299">
        <v>634</v>
      </c>
      <c r="AF32" s="311">
        <v>33.61</v>
      </c>
      <c r="AG32" s="312">
        <v>13831</v>
      </c>
      <c r="AH32" s="299">
        <v>8040</v>
      </c>
      <c r="AI32" s="299">
        <v>33.61</v>
      </c>
      <c r="AJ32" s="313">
        <v>13215</v>
      </c>
      <c r="AK32" s="299">
        <v>3549</v>
      </c>
      <c r="AL32" s="299">
        <v>33.61</v>
      </c>
      <c r="AM32" s="314">
        <v>1332</v>
      </c>
      <c r="AN32" s="299">
        <v>651</v>
      </c>
      <c r="AO32" s="323">
        <f>28.96+13.3</f>
        <v>42.260000000000005</v>
      </c>
      <c r="AP32" s="324"/>
      <c r="AQ32" s="299">
        <f t="shared" si="34"/>
        <v>0</v>
      </c>
      <c r="AR32" s="228">
        <v>33.61</v>
      </c>
    </row>
    <row r="33" spans="1:44" ht="15" customHeight="1" x14ac:dyDescent="0.2">
      <c r="A33" s="66">
        <v>25</v>
      </c>
      <c r="B33" s="67" t="s">
        <v>235</v>
      </c>
      <c r="C33" s="189">
        <f t="shared" si="26"/>
        <v>9486.5833333333321</v>
      </c>
      <c r="D33" s="189">
        <f>[2]нея!$C$128</f>
        <v>9234</v>
      </c>
      <c r="E33" s="190">
        <f t="shared" si="16"/>
        <v>97.337467827370247</v>
      </c>
      <c r="F33" s="189">
        <f t="shared" si="27"/>
        <v>5520.1666666666661</v>
      </c>
      <c r="G33" s="189">
        <f>[2]нея!$O$128</f>
        <v>5150</v>
      </c>
      <c r="H33" s="191">
        <f t="shared" si="18"/>
        <v>93.3</v>
      </c>
      <c r="I33" s="189">
        <f t="shared" si="28"/>
        <v>1090.8333333333335</v>
      </c>
      <c r="J33" s="189">
        <f>[2]нея!$W$128</f>
        <v>340</v>
      </c>
      <c r="K33" s="191">
        <f t="shared" si="29"/>
        <v>31.2</v>
      </c>
      <c r="L33" s="189">
        <f t="shared" si="30"/>
        <v>33974.416666666672</v>
      </c>
      <c r="M33" s="189">
        <f>[2]нея!$S$128</f>
        <v>34852.160000000003</v>
      </c>
      <c r="N33" s="191">
        <f t="shared" si="12"/>
        <v>102.6</v>
      </c>
      <c r="O33" s="189">
        <f t="shared" si="31"/>
        <v>14510.833333333334</v>
      </c>
      <c r="P33" s="189">
        <f>[2]нея!$AA$128</f>
        <v>12436</v>
      </c>
      <c r="Q33" s="191">
        <f t="shared" si="21"/>
        <v>85.7</v>
      </c>
      <c r="R33" s="189">
        <f t="shared" si="32"/>
        <v>2120.25</v>
      </c>
      <c r="S33" s="189">
        <f>[2]нея!$G$128</f>
        <v>2016</v>
      </c>
      <c r="T33" s="191">
        <f t="shared" si="13"/>
        <v>95.1</v>
      </c>
      <c r="U33" s="189">
        <f t="shared" si="33"/>
        <v>0</v>
      </c>
      <c r="V33" s="189"/>
      <c r="W33" s="191"/>
      <c r="X33" s="130">
        <v>19000</v>
      </c>
      <c r="Y33" s="299">
        <v>10349</v>
      </c>
      <c r="Z33" s="308">
        <v>37.25</v>
      </c>
      <c r="AA33" s="309">
        <v>9500</v>
      </c>
      <c r="AB33" s="299">
        <v>6022</v>
      </c>
      <c r="AC33" s="299">
        <v>46.74</v>
      </c>
      <c r="AD33" s="310">
        <v>1000</v>
      </c>
      <c r="AE33" s="299">
        <v>1190</v>
      </c>
      <c r="AF33" s="311">
        <v>41.64</v>
      </c>
      <c r="AG33" s="312">
        <v>59648</v>
      </c>
      <c r="AH33" s="299">
        <v>37063</v>
      </c>
      <c r="AI33" s="299">
        <v>41.64</v>
      </c>
      <c r="AJ33" s="313">
        <v>23767</v>
      </c>
      <c r="AK33" s="299">
        <v>15830</v>
      </c>
      <c r="AL33" s="299">
        <v>41.64</v>
      </c>
      <c r="AM33" s="314">
        <v>4229</v>
      </c>
      <c r="AN33" s="299">
        <v>2313</v>
      </c>
      <c r="AO33" s="323">
        <f>58.45-0.5</f>
        <v>57.95</v>
      </c>
      <c r="AP33" s="324"/>
      <c r="AQ33" s="299">
        <f t="shared" si="34"/>
        <v>0</v>
      </c>
      <c r="AR33" s="228">
        <v>41.64</v>
      </c>
    </row>
    <row r="34" spans="1:44" ht="15" customHeight="1" x14ac:dyDescent="0.25">
      <c r="A34" s="391" t="s">
        <v>273</v>
      </c>
      <c r="B34" s="392"/>
      <c r="C34" s="192">
        <f>SUM(C35:C41)</f>
        <v>3512.666666666667</v>
      </c>
      <c r="D34" s="192">
        <f>SUM(D35:D41)</f>
        <v>3163</v>
      </c>
      <c r="E34" s="187">
        <f>ROUND(D34/C34*100,1)</f>
        <v>90</v>
      </c>
      <c r="F34" s="192">
        <f>SUM(F35:F41)</f>
        <v>1136.6666666666667</v>
      </c>
      <c r="G34" s="192">
        <f>SUM(G35:G41)</f>
        <v>964</v>
      </c>
      <c r="H34" s="188">
        <f>ROUND(G34/F34*100,1)</f>
        <v>84.8</v>
      </c>
      <c r="I34" s="192">
        <f>SUM(I35:I41)</f>
        <v>242.00000000000003</v>
      </c>
      <c r="J34" s="192">
        <f>SUM(J35:J41)</f>
        <v>114</v>
      </c>
      <c r="K34" s="193">
        <f>ROUND(J34/I34*100,1)</f>
        <v>47.1</v>
      </c>
      <c r="L34" s="192">
        <f>SUM(L35:L41)</f>
        <v>8272</v>
      </c>
      <c r="M34" s="192">
        <f>SUM(M35:M41)</f>
        <v>7990.2300000000005</v>
      </c>
      <c r="N34" s="193">
        <f>ROUND(M34/L34*100,1)</f>
        <v>96.6</v>
      </c>
      <c r="O34" s="192">
        <f>SUM(O35:O41)</f>
        <v>1197.1666666666667</v>
      </c>
      <c r="P34" s="192">
        <f>SUM(P35:P41)</f>
        <v>853</v>
      </c>
      <c r="Q34" s="193">
        <f>ROUND(P34/O34*100,1)</f>
        <v>71.3</v>
      </c>
      <c r="R34" s="192">
        <f>SUM(R35:R41)</f>
        <v>354.75</v>
      </c>
      <c r="S34" s="192">
        <f>SUM(S35:S41)</f>
        <v>347</v>
      </c>
      <c r="T34" s="193">
        <f>ROUND(S34/R34*100,1)</f>
        <v>97.8</v>
      </c>
      <c r="U34" s="192">
        <f>SUM(U35:U41)</f>
        <v>22.916666666666668</v>
      </c>
      <c r="V34" s="192">
        <f>SUM(V35:V41)</f>
        <v>16</v>
      </c>
      <c r="W34" s="193">
        <f>ROUND(V34/U34*100,1)</f>
        <v>69.8</v>
      </c>
      <c r="X34" s="254">
        <f>SUM(X35:X41)</f>
        <v>137000</v>
      </c>
      <c r="Y34" s="306">
        <f t="shared" ref="Y34:AR34" si="35">SUM(Y35:Y41)</f>
        <v>3832</v>
      </c>
      <c r="Z34" s="306">
        <f t="shared" si="35"/>
        <v>13.91</v>
      </c>
      <c r="AA34" s="306">
        <f t="shared" si="35"/>
        <v>54700</v>
      </c>
      <c r="AB34" s="306">
        <f t="shared" si="35"/>
        <v>1240</v>
      </c>
      <c r="AC34" s="306">
        <f t="shared" si="35"/>
        <v>17.820000000000004</v>
      </c>
      <c r="AD34" s="306">
        <f t="shared" si="35"/>
        <v>24366</v>
      </c>
      <c r="AE34" s="306">
        <f t="shared" si="35"/>
        <v>264</v>
      </c>
      <c r="AF34" s="306">
        <f t="shared" si="35"/>
        <v>11.55</v>
      </c>
      <c r="AG34" s="306">
        <f t="shared" si="35"/>
        <v>294575</v>
      </c>
      <c r="AH34" s="306">
        <f t="shared" si="35"/>
        <v>9024</v>
      </c>
      <c r="AI34" s="306">
        <f t="shared" si="35"/>
        <v>11.55</v>
      </c>
      <c r="AJ34" s="306">
        <f t="shared" si="35"/>
        <v>124069</v>
      </c>
      <c r="AK34" s="341">
        <f t="shared" si="35"/>
        <v>1306</v>
      </c>
      <c r="AL34" s="306">
        <f t="shared" si="35"/>
        <v>11.55</v>
      </c>
      <c r="AM34" s="306">
        <f t="shared" si="35"/>
        <v>24300</v>
      </c>
      <c r="AN34" s="306">
        <f t="shared" si="35"/>
        <v>387</v>
      </c>
      <c r="AO34" s="306">
        <f>SUM(AO35:AO41)</f>
        <v>24.009999999999998</v>
      </c>
      <c r="AP34" s="306">
        <f t="shared" si="35"/>
        <v>331</v>
      </c>
      <c r="AQ34" s="306">
        <f t="shared" si="35"/>
        <v>25</v>
      </c>
      <c r="AR34" s="254">
        <f t="shared" si="35"/>
        <v>11.55</v>
      </c>
    </row>
    <row r="35" spans="1:44" ht="15" customHeight="1" x14ac:dyDescent="0.2">
      <c r="A35" s="66">
        <v>26</v>
      </c>
      <c r="B35" s="67" t="s">
        <v>207</v>
      </c>
      <c r="C35" s="189">
        <f t="shared" ref="C35:C41" si="36">Y35/12*11</f>
        <v>3252.3333333333335</v>
      </c>
      <c r="D35" s="189">
        <f>[3]ШАР!$C$128</f>
        <v>2996</v>
      </c>
      <c r="E35" s="190">
        <f t="shared" si="16"/>
        <v>92.118479040688726</v>
      </c>
      <c r="F35" s="189">
        <f t="shared" ref="F35:F41" si="37">AB35/12*11</f>
        <v>563.75</v>
      </c>
      <c r="G35" s="189">
        <f>[3]ШАР!$O$128</f>
        <v>495</v>
      </c>
      <c r="H35" s="191">
        <f t="shared" si="18"/>
        <v>87.8</v>
      </c>
      <c r="I35" s="189">
        <f t="shared" ref="I35:I41" si="38">AE35/12*11</f>
        <v>113.66666666666667</v>
      </c>
      <c r="J35" s="189">
        <f>[3]ШАР!$W$128</f>
        <v>29</v>
      </c>
      <c r="K35" s="191"/>
      <c r="L35" s="189">
        <f t="shared" ref="L35:L41" si="39">AH35/12*11</f>
        <v>6041.75</v>
      </c>
      <c r="M35" s="189">
        <f>[3]ШАР!$S$128</f>
        <v>5577.08</v>
      </c>
      <c r="N35" s="191">
        <f t="shared" si="12"/>
        <v>92.3</v>
      </c>
      <c r="O35" s="189">
        <f t="shared" ref="O35:O41" si="40">AK35/12*11</f>
        <v>693.91666666666674</v>
      </c>
      <c r="P35" s="189">
        <f>[3]ШАР!$AA$128</f>
        <v>484</v>
      </c>
      <c r="Q35" s="191">
        <f t="shared" si="21"/>
        <v>69.7</v>
      </c>
      <c r="R35" s="189">
        <f t="shared" ref="R35:R41" si="41">AN35/12*11</f>
        <v>261.25</v>
      </c>
      <c r="S35" s="189">
        <f>[3]ШАР!$G$128</f>
        <v>257</v>
      </c>
      <c r="T35" s="191">
        <f t="shared" si="13"/>
        <v>98.4</v>
      </c>
      <c r="U35" s="189">
        <f t="shared" ref="U35:U41" si="42">AQ35/12*11</f>
        <v>22.916666666666668</v>
      </c>
      <c r="V35" s="189">
        <f>[3]ШАР!$K$128</f>
        <v>16</v>
      </c>
      <c r="W35" s="191">
        <f>ROUND(V35/U35*100,1)</f>
        <v>69.8</v>
      </c>
      <c r="X35" s="130">
        <v>104000</v>
      </c>
      <c r="Y35" s="299">
        <v>3548</v>
      </c>
      <c r="Z35" s="308">
        <v>3.73</v>
      </c>
      <c r="AA35" s="309">
        <v>17000</v>
      </c>
      <c r="AB35" s="299">
        <v>615</v>
      </c>
      <c r="AC35" s="299">
        <v>5.54</v>
      </c>
      <c r="AD35" s="310">
        <v>10000</v>
      </c>
      <c r="AE35" s="299">
        <v>124</v>
      </c>
      <c r="AF35" s="311">
        <v>1.83</v>
      </c>
      <c r="AG35" s="312">
        <v>154738</v>
      </c>
      <c r="AH35" s="299">
        <v>6591</v>
      </c>
      <c r="AI35" s="299">
        <v>1.83</v>
      </c>
      <c r="AJ35" s="313">
        <v>62853</v>
      </c>
      <c r="AK35" s="299">
        <v>757</v>
      </c>
      <c r="AL35" s="299">
        <v>1.83</v>
      </c>
      <c r="AM35" s="314">
        <v>13806</v>
      </c>
      <c r="AN35" s="299">
        <v>285</v>
      </c>
      <c r="AO35" s="323">
        <f>1.57+5.56</f>
        <v>7.13</v>
      </c>
      <c r="AP35" s="324">
        <v>331</v>
      </c>
      <c r="AQ35" s="299">
        <v>25</v>
      </c>
      <c r="AR35" s="228">
        <v>1.83</v>
      </c>
    </row>
    <row r="36" spans="1:44" ht="15" customHeight="1" x14ac:dyDescent="0.2">
      <c r="A36" s="67">
        <v>27</v>
      </c>
      <c r="B36" s="67" t="s">
        <v>236</v>
      </c>
      <c r="C36" s="189">
        <f t="shared" si="36"/>
        <v>24.75</v>
      </c>
      <c r="D36" s="189">
        <f>[3]РОЖД!$C$128</f>
        <v>19</v>
      </c>
      <c r="E36" s="190">
        <f t="shared" si="16"/>
        <v>76.767676767676761</v>
      </c>
      <c r="F36" s="189">
        <f t="shared" si="37"/>
        <v>207.16666666666666</v>
      </c>
      <c r="G36" s="189">
        <f>[3]РОЖД!$O$128</f>
        <v>200</v>
      </c>
      <c r="H36" s="191">
        <f t="shared" si="18"/>
        <v>96.5</v>
      </c>
      <c r="I36" s="189">
        <f t="shared" si="38"/>
        <v>55.916666666666664</v>
      </c>
      <c r="J36" s="189">
        <f>[3]РОЖД!$W$128</f>
        <v>45</v>
      </c>
      <c r="K36" s="191">
        <f>ROUND(J36/I36*100,1)</f>
        <v>80.5</v>
      </c>
      <c r="L36" s="189">
        <f t="shared" si="39"/>
        <v>624.25</v>
      </c>
      <c r="M36" s="189">
        <f>[3]РОЖД!$S$128</f>
        <v>651.83000000000004</v>
      </c>
      <c r="N36" s="191">
        <f t="shared" si="12"/>
        <v>104.4</v>
      </c>
      <c r="O36" s="189">
        <f t="shared" si="40"/>
        <v>143</v>
      </c>
      <c r="P36" s="189">
        <f>[3]РОЖД!$AA$128</f>
        <v>127</v>
      </c>
      <c r="Q36" s="191">
        <f t="shared" si="21"/>
        <v>88.8</v>
      </c>
      <c r="R36" s="189">
        <f t="shared" si="41"/>
        <v>15.583333333333334</v>
      </c>
      <c r="S36" s="189">
        <f>[3]РОЖД!$G$128</f>
        <v>19</v>
      </c>
      <c r="T36" s="191">
        <f t="shared" si="13"/>
        <v>121.9</v>
      </c>
      <c r="U36" s="189">
        <f t="shared" si="42"/>
        <v>0</v>
      </c>
      <c r="V36" s="189"/>
      <c r="W36" s="191"/>
      <c r="X36" s="130">
        <v>4500</v>
      </c>
      <c r="Y36" s="299">
        <v>27</v>
      </c>
      <c r="Z36" s="308">
        <v>2.2799999999999998</v>
      </c>
      <c r="AA36" s="309">
        <v>10500</v>
      </c>
      <c r="AB36" s="299">
        <v>226</v>
      </c>
      <c r="AC36" s="299">
        <v>2.67</v>
      </c>
      <c r="AD36" s="310">
        <v>5444</v>
      </c>
      <c r="AE36" s="299">
        <v>61</v>
      </c>
      <c r="AF36" s="311">
        <v>1.57</v>
      </c>
      <c r="AG36" s="312">
        <v>23733</v>
      </c>
      <c r="AH36" s="299">
        <v>681</v>
      </c>
      <c r="AI36" s="299">
        <v>1.57</v>
      </c>
      <c r="AJ36" s="313">
        <v>12598</v>
      </c>
      <c r="AK36" s="299">
        <v>156</v>
      </c>
      <c r="AL36" s="299">
        <v>1.57</v>
      </c>
      <c r="AM36" s="314">
        <v>1126</v>
      </c>
      <c r="AN36" s="299">
        <v>17</v>
      </c>
      <c r="AO36" s="323">
        <f>1.07+5.37</f>
        <v>6.44</v>
      </c>
      <c r="AP36" s="324"/>
      <c r="AQ36" s="299">
        <f t="shared" ref="AQ36:AQ41" si="43">ROUND(AP36*AR36/100,0)</f>
        <v>0</v>
      </c>
      <c r="AR36" s="228">
        <v>1.57</v>
      </c>
    </row>
    <row r="37" spans="1:44" ht="15" customHeight="1" x14ac:dyDescent="0.2">
      <c r="A37" s="66">
        <v>28</v>
      </c>
      <c r="B37" s="68" t="s">
        <v>237</v>
      </c>
      <c r="C37" s="189">
        <f t="shared" si="36"/>
        <v>15.583333333333334</v>
      </c>
      <c r="D37" s="189">
        <f>[3]ПОНАЗ!$C$128</f>
        <v>12</v>
      </c>
      <c r="E37" s="190">
        <f t="shared" si="16"/>
        <v>77.005347593582883</v>
      </c>
      <c r="F37" s="189">
        <f t="shared" si="37"/>
        <v>129.25</v>
      </c>
      <c r="G37" s="189">
        <f>[3]ПОНАЗ!$O$128</f>
        <v>74</v>
      </c>
      <c r="H37" s="191">
        <f t="shared" si="18"/>
        <v>57.3</v>
      </c>
      <c r="I37" s="189">
        <f t="shared" si="38"/>
        <v>19.25</v>
      </c>
      <c r="J37" s="189">
        <f>[3]ПОНАЗ!$W$128</f>
        <v>9</v>
      </c>
      <c r="K37" s="191">
        <f>ROUND(J37/I37*100,1)</f>
        <v>46.8</v>
      </c>
      <c r="L37" s="189">
        <f t="shared" si="39"/>
        <v>170.5</v>
      </c>
      <c r="M37" s="189">
        <f>[3]ПОНАЗ!$S$128</f>
        <v>159.25</v>
      </c>
      <c r="N37" s="191">
        <f t="shared" si="12"/>
        <v>93.4</v>
      </c>
      <c r="O37" s="189">
        <f t="shared" si="40"/>
        <v>22</v>
      </c>
      <c r="P37" s="189">
        <f>[3]ПОНАЗ!$AA$128</f>
        <v>14</v>
      </c>
      <c r="Q37" s="191">
        <f t="shared" si="21"/>
        <v>63.6</v>
      </c>
      <c r="R37" s="189">
        <f t="shared" si="41"/>
        <v>13.75</v>
      </c>
      <c r="S37" s="189">
        <f>[3]ПОНАЗ!$G$128</f>
        <v>12</v>
      </c>
      <c r="T37" s="191">
        <f t="shared" si="13"/>
        <v>87.3</v>
      </c>
      <c r="U37" s="189">
        <f t="shared" si="42"/>
        <v>0</v>
      </c>
      <c r="V37" s="189"/>
      <c r="W37" s="191"/>
      <c r="X37" s="130">
        <v>4500</v>
      </c>
      <c r="Y37" s="299">
        <v>17</v>
      </c>
      <c r="Z37" s="308">
        <v>1.0900000000000001</v>
      </c>
      <c r="AA37" s="309">
        <v>5000</v>
      </c>
      <c r="AB37" s="299">
        <v>141</v>
      </c>
      <c r="AC37" s="299">
        <v>1.39</v>
      </c>
      <c r="AD37" s="310">
        <v>1000</v>
      </c>
      <c r="AE37" s="299">
        <v>21</v>
      </c>
      <c r="AF37" s="311">
        <v>1.34</v>
      </c>
      <c r="AG37" s="312">
        <v>21612</v>
      </c>
      <c r="AH37" s="299">
        <v>186</v>
      </c>
      <c r="AI37" s="299">
        <v>1.34</v>
      </c>
      <c r="AJ37" s="313">
        <v>12524</v>
      </c>
      <c r="AK37" s="299">
        <v>24</v>
      </c>
      <c r="AL37" s="299">
        <v>1.34</v>
      </c>
      <c r="AM37" s="314">
        <v>2529</v>
      </c>
      <c r="AN37" s="299">
        <v>15</v>
      </c>
      <c r="AO37" s="323">
        <f>0.27+1.16</f>
        <v>1.43</v>
      </c>
      <c r="AP37" s="324"/>
      <c r="AQ37" s="299">
        <f t="shared" si="43"/>
        <v>0</v>
      </c>
      <c r="AR37" s="228">
        <v>1.34</v>
      </c>
    </row>
    <row r="38" spans="1:44" ht="15" customHeight="1" x14ac:dyDescent="0.2">
      <c r="A38" s="66">
        <v>29</v>
      </c>
      <c r="B38" s="67" t="s">
        <v>238</v>
      </c>
      <c r="C38" s="189">
        <f t="shared" si="36"/>
        <v>0</v>
      </c>
      <c r="D38" s="189">
        <f>[2]пыщ!$C$128</f>
        <v>0</v>
      </c>
      <c r="E38" s="190"/>
      <c r="F38" s="189">
        <f t="shared" si="37"/>
        <v>46.75</v>
      </c>
      <c r="G38" s="189">
        <f>[2]пыщ!$O$128</f>
        <v>49</v>
      </c>
      <c r="H38" s="191">
        <f t="shared" si="18"/>
        <v>104.8</v>
      </c>
      <c r="I38" s="189">
        <f t="shared" si="38"/>
        <v>23.833333333333332</v>
      </c>
      <c r="J38" s="189">
        <f>[2]пыщ!$W$128</f>
        <v>13</v>
      </c>
      <c r="K38" s="191">
        <f>ROUND(J38/I38*100,1)</f>
        <v>54.5</v>
      </c>
      <c r="L38" s="189">
        <f t="shared" si="39"/>
        <v>136.58333333333331</v>
      </c>
      <c r="M38" s="189">
        <f>[2]пыщ!$S$128</f>
        <v>133.13999999999999</v>
      </c>
      <c r="N38" s="191">
        <f t="shared" si="12"/>
        <v>97.5</v>
      </c>
      <c r="O38" s="189">
        <f t="shared" si="40"/>
        <v>45.833333333333336</v>
      </c>
      <c r="P38" s="189">
        <f>[2]пыщ!$AA$128</f>
        <v>44</v>
      </c>
      <c r="Q38" s="191">
        <f t="shared" si="21"/>
        <v>96</v>
      </c>
      <c r="R38" s="189">
        <f t="shared" si="41"/>
        <v>14.666666666666666</v>
      </c>
      <c r="S38" s="189">
        <f>[2]пыщ!$G$128</f>
        <v>12</v>
      </c>
      <c r="T38" s="191">
        <f t="shared" si="13"/>
        <v>81.8</v>
      </c>
      <c r="U38" s="189">
        <f t="shared" si="42"/>
        <v>0</v>
      </c>
      <c r="V38" s="189"/>
      <c r="W38" s="191"/>
      <c r="X38" s="130">
        <v>2500</v>
      </c>
      <c r="Y38" s="299">
        <v>0</v>
      </c>
      <c r="Z38" s="308">
        <v>1.58</v>
      </c>
      <c r="AA38" s="309">
        <v>5000</v>
      </c>
      <c r="AB38" s="299">
        <v>51</v>
      </c>
      <c r="AC38" s="299">
        <v>1.89</v>
      </c>
      <c r="AD38" s="310">
        <v>1000</v>
      </c>
      <c r="AE38" s="299">
        <v>26</v>
      </c>
      <c r="AF38" s="311">
        <v>1.58</v>
      </c>
      <c r="AG38" s="312">
        <v>17324</v>
      </c>
      <c r="AH38" s="299">
        <v>149</v>
      </c>
      <c r="AI38" s="299">
        <v>1.58</v>
      </c>
      <c r="AJ38" s="313">
        <v>8741</v>
      </c>
      <c r="AK38" s="299">
        <v>50</v>
      </c>
      <c r="AL38" s="299">
        <v>1.58</v>
      </c>
      <c r="AM38" s="314">
        <v>910</v>
      </c>
      <c r="AN38" s="299">
        <v>16</v>
      </c>
      <c r="AO38" s="323">
        <v>1.69</v>
      </c>
      <c r="AP38" s="324"/>
      <c r="AQ38" s="299">
        <f t="shared" si="43"/>
        <v>0</v>
      </c>
      <c r="AR38" s="228">
        <v>1.58</v>
      </c>
    </row>
    <row r="39" spans="1:44" ht="15" customHeight="1" x14ac:dyDescent="0.2">
      <c r="A39" s="66">
        <v>30</v>
      </c>
      <c r="B39" s="67" t="s">
        <v>239</v>
      </c>
      <c r="C39" s="189">
        <f t="shared" si="36"/>
        <v>95.333333333333329</v>
      </c>
      <c r="D39" s="189">
        <f>[2]пав!$C$128</f>
        <v>38</v>
      </c>
      <c r="E39" s="190">
        <f t="shared" si="16"/>
        <v>39.860139860139867</v>
      </c>
      <c r="F39" s="189">
        <f t="shared" si="37"/>
        <v>11</v>
      </c>
      <c r="G39" s="189">
        <f>[2]пав!$O$128</f>
        <v>10</v>
      </c>
      <c r="H39" s="191">
        <f t="shared" si="18"/>
        <v>90.9</v>
      </c>
      <c r="I39" s="189">
        <f t="shared" si="38"/>
        <v>4.5833333333333339</v>
      </c>
      <c r="J39" s="189">
        <f>[2]пав!$W$128</f>
        <v>2</v>
      </c>
      <c r="K39" s="191">
        <f>ROUND(J39/I39*100,1)</f>
        <v>43.6</v>
      </c>
      <c r="L39" s="189">
        <f t="shared" si="39"/>
        <v>173.25</v>
      </c>
      <c r="M39" s="189">
        <f>[2]пав!$S$128</f>
        <v>176.08999999999997</v>
      </c>
      <c r="N39" s="191">
        <f t="shared" si="12"/>
        <v>101.6</v>
      </c>
      <c r="O39" s="189">
        <f t="shared" si="40"/>
        <v>62.333333333333336</v>
      </c>
      <c r="P39" s="189">
        <f>[2]пав!$AA$128</f>
        <v>47</v>
      </c>
      <c r="Q39" s="191">
        <f t="shared" si="21"/>
        <v>75.400000000000006</v>
      </c>
      <c r="R39" s="189">
        <f t="shared" si="41"/>
        <v>14.666666666666666</v>
      </c>
      <c r="S39" s="189">
        <f>[2]пав!$G$128</f>
        <v>15</v>
      </c>
      <c r="T39" s="191">
        <f t="shared" si="13"/>
        <v>102.3</v>
      </c>
      <c r="U39" s="189">
        <f t="shared" si="42"/>
        <v>0</v>
      </c>
      <c r="V39" s="189"/>
      <c r="W39" s="191"/>
      <c r="X39" s="130">
        <v>3500</v>
      </c>
      <c r="Y39" s="299">
        <v>104</v>
      </c>
      <c r="Z39" s="308">
        <v>1.1599999999999999</v>
      </c>
      <c r="AA39" s="309">
        <v>4500</v>
      </c>
      <c r="AB39" s="299">
        <v>12</v>
      </c>
      <c r="AC39" s="299">
        <v>1.47</v>
      </c>
      <c r="AD39" s="310">
        <v>921</v>
      </c>
      <c r="AE39" s="299">
        <v>5</v>
      </c>
      <c r="AF39" s="311">
        <v>1.1599999999999999</v>
      </c>
      <c r="AG39" s="312">
        <v>10797</v>
      </c>
      <c r="AH39" s="299">
        <v>189</v>
      </c>
      <c r="AI39" s="299">
        <v>1.1599999999999999</v>
      </c>
      <c r="AJ39" s="313">
        <v>8421</v>
      </c>
      <c r="AK39" s="299">
        <v>68</v>
      </c>
      <c r="AL39" s="299">
        <v>1.1599999999999999</v>
      </c>
      <c r="AM39" s="314">
        <v>1520</v>
      </c>
      <c r="AN39" s="299">
        <v>16</v>
      </c>
      <c r="AO39" s="323">
        <v>1.24</v>
      </c>
      <c r="AP39" s="324"/>
      <c r="AQ39" s="299">
        <f t="shared" si="43"/>
        <v>0</v>
      </c>
      <c r="AR39" s="228">
        <v>1.1599999999999999</v>
      </c>
    </row>
    <row r="40" spans="1:44" ht="15" customHeight="1" x14ac:dyDescent="0.2">
      <c r="A40" s="66">
        <v>31</v>
      </c>
      <c r="B40" s="67" t="s">
        <v>240</v>
      </c>
      <c r="C40" s="189">
        <f t="shared" si="36"/>
        <v>124.66666666666667</v>
      </c>
      <c r="D40" s="189">
        <f>[4]вохма!$C$128</f>
        <v>98</v>
      </c>
      <c r="E40" s="190">
        <f t="shared" si="16"/>
        <v>78.609625668449183</v>
      </c>
      <c r="F40" s="189">
        <f t="shared" si="37"/>
        <v>114.58333333333333</v>
      </c>
      <c r="G40" s="189">
        <f>[4]вохма!$O$128</f>
        <v>104</v>
      </c>
      <c r="H40" s="191">
        <f t="shared" si="18"/>
        <v>90.8</v>
      </c>
      <c r="I40" s="189">
        <f t="shared" si="38"/>
        <v>0</v>
      </c>
      <c r="J40" s="256">
        <f>[4]вохма!$W$128</f>
        <v>0</v>
      </c>
      <c r="K40" s="191"/>
      <c r="L40" s="189">
        <f t="shared" si="39"/>
        <v>334.58333333333337</v>
      </c>
      <c r="M40" s="189">
        <f>[4]вохма!$S$128</f>
        <v>292.65999999999997</v>
      </c>
      <c r="N40" s="191">
        <f>ROUND(M40/L40*100,1)</f>
        <v>87.5</v>
      </c>
      <c r="O40" s="189">
        <f t="shared" si="40"/>
        <v>112.75</v>
      </c>
      <c r="P40" s="256">
        <f>[4]вохма!$AA$128</f>
        <v>79</v>
      </c>
      <c r="Q40" s="191">
        <f>ROUND(P40/O40*100,1)</f>
        <v>70.099999999999994</v>
      </c>
      <c r="R40" s="189">
        <f t="shared" si="41"/>
        <v>13.75</v>
      </c>
      <c r="S40" s="189">
        <f>[4]вохма!$G$128</f>
        <v>14</v>
      </c>
      <c r="T40" s="191">
        <f>ROUND(S40/R40*100,1)</f>
        <v>101.8</v>
      </c>
      <c r="U40" s="189">
        <f t="shared" si="42"/>
        <v>0</v>
      </c>
      <c r="V40" s="189"/>
      <c r="W40" s="191"/>
      <c r="X40" s="130">
        <v>14500</v>
      </c>
      <c r="Y40" s="299">
        <v>136</v>
      </c>
      <c r="Z40" s="308">
        <v>1.43</v>
      </c>
      <c r="AA40" s="309">
        <v>7500</v>
      </c>
      <c r="AB40" s="299">
        <v>125</v>
      </c>
      <c r="AC40" s="299">
        <v>1.84</v>
      </c>
      <c r="AD40" s="310">
        <v>3444</v>
      </c>
      <c r="AE40" s="299">
        <v>0</v>
      </c>
      <c r="AF40" s="311">
        <v>1.43</v>
      </c>
      <c r="AG40" s="312">
        <v>28853</v>
      </c>
      <c r="AH40" s="299">
        <v>365</v>
      </c>
      <c r="AI40" s="299">
        <v>1.43</v>
      </c>
      <c r="AJ40" s="313">
        <v>11983</v>
      </c>
      <c r="AK40" s="299">
        <v>123</v>
      </c>
      <c r="AL40" s="299">
        <v>1.43</v>
      </c>
      <c r="AM40" s="314">
        <v>3009</v>
      </c>
      <c r="AN40" s="299">
        <v>15</v>
      </c>
      <c r="AO40" s="323">
        <f>0.57+0.27</f>
        <v>0.84</v>
      </c>
      <c r="AP40" s="324"/>
      <c r="AQ40" s="299">
        <f t="shared" si="43"/>
        <v>0</v>
      </c>
      <c r="AR40" s="228">
        <v>1.43</v>
      </c>
    </row>
    <row r="41" spans="1:44" ht="15" customHeight="1" x14ac:dyDescent="0.2">
      <c r="A41" s="66">
        <v>32</v>
      </c>
      <c r="B41" s="67" t="s">
        <v>241</v>
      </c>
      <c r="C41" s="189">
        <f t="shared" si="36"/>
        <v>0</v>
      </c>
      <c r="D41" s="189">
        <f>[4]богов!$C$128</f>
        <v>0</v>
      </c>
      <c r="E41" s="190" t="e">
        <f t="shared" si="16"/>
        <v>#DIV/0!</v>
      </c>
      <c r="F41" s="189">
        <f t="shared" si="37"/>
        <v>64.166666666666657</v>
      </c>
      <c r="G41" s="189">
        <f>[4]богов!$O$128</f>
        <v>32</v>
      </c>
      <c r="H41" s="191">
        <f t="shared" si="18"/>
        <v>49.9</v>
      </c>
      <c r="I41" s="189">
        <f t="shared" si="38"/>
        <v>24.75</v>
      </c>
      <c r="J41" s="189">
        <f>[4]богов!$W$128</f>
        <v>16</v>
      </c>
      <c r="K41" s="191">
        <f>ROUND(J41/I41*100,1)</f>
        <v>64.599999999999994</v>
      </c>
      <c r="L41" s="189">
        <f t="shared" si="39"/>
        <v>791.08333333333337</v>
      </c>
      <c r="M41" s="189">
        <f>[4]богов!$S$128</f>
        <v>1000.1800000000001</v>
      </c>
      <c r="N41" s="191">
        <f>ROUND(M41/L41*100,1)</f>
        <v>126.4</v>
      </c>
      <c r="O41" s="189">
        <f t="shared" si="40"/>
        <v>117.33333333333333</v>
      </c>
      <c r="P41" s="189">
        <f>[4]богов!$AA$128</f>
        <v>58</v>
      </c>
      <c r="Q41" s="191">
        <f>ROUND(P41/O41*100,1)</f>
        <v>49.4</v>
      </c>
      <c r="R41" s="189">
        <f t="shared" si="41"/>
        <v>21.083333333333336</v>
      </c>
      <c r="S41" s="189">
        <f>[4]богов!$G$128</f>
        <v>18</v>
      </c>
      <c r="T41" s="191">
        <f>ROUND(S41/R41*100,1)</f>
        <v>85.4</v>
      </c>
      <c r="U41" s="189">
        <f t="shared" si="42"/>
        <v>0</v>
      </c>
      <c r="V41" s="189"/>
      <c r="W41" s="191"/>
      <c r="X41" s="130">
        <v>3500</v>
      </c>
      <c r="Y41" s="299">
        <v>0</v>
      </c>
      <c r="Z41" s="308">
        <v>2.64</v>
      </c>
      <c r="AA41" s="309">
        <v>5200</v>
      </c>
      <c r="AB41" s="299">
        <v>70</v>
      </c>
      <c r="AC41" s="299">
        <v>3.02</v>
      </c>
      <c r="AD41" s="310">
        <v>2557</v>
      </c>
      <c r="AE41" s="299">
        <v>27</v>
      </c>
      <c r="AF41" s="311">
        <v>2.64</v>
      </c>
      <c r="AG41" s="312">
        <v>37518</v>
      </c>
      <c r="AH41" s="299">
        <v>863</v>
      </c>
      <c r="AI41" s="299">
        <v>2.64</v>
      </c>
      <c r="AJ41" s="313">
        <v>6949</v>
      </c>
      <c r="AK41" s="299">
        <v>128</v>
      </c>
      <c r="AL41" s="299">
        <v>2.64</v>
      </c>
      <c r="AM41" s="314">
        <v>1400</v>
      </c>
      <c r="AN41" s="299">
        <v>23</v>
      </c>
      <c r="AO41" s="323">
        <f>1.96+3.28</f>
        <v>5.24</v>
      </c>
      <c r="AP41" s="324"/>
      <c r="AQ41" s="299">
        <f t="shared" si="43"/>
        <v>0</v>
      </c>
      <c r="AR41" s="228">
        <v>2.64</v>
      </c>
    </row>
    <row r="42" spans="1:44" ht="15" customHeight="1" x14ac:dyDescent="0.25">
      <c r="A42" s="391" t="s">
        <v>269</v>
      </c>
      <c r="B42" s="392"/>
      <c r="C42" s="192">
        <f>SUM(C43:C48)</f>
        <v>98443.583333333343</v>
      </c>
      <c r="D42" s="192">
        <f>SUM(D43:D48)</f>
        <v>96078</v>
      </c>
      <c r="E42" s="187">
        <f>ROUND(D42/C42*100,1)</f>
        <v>97.6</v>
      </c>
      <c r="F42" s="192">
        <f>SUM(F43:F48)</f>
        <v>38958.333333333328</v>
      </c>
      <c r="G42" s="192">
        <f>SUM(G43:G48)</f>
        <v>34250</v>
      </c>
      <c r="H42" s="188">
        <f>ROUND(G42/F42*100,1)</f>
        <v>87.9</v>
      </c>
      <c r="I42" s="192">
        <f>SUM(I43:I48)</f>
        <v>16064.583333333332</v>
      </c>
      <c r="J42" s="192">
        <f>SUM(J43:J48)</f>
        <v>14198</v>
      </c>
      <c r="K42" s="193">
        <f>ROUND(J42/I42*100,1)</f>
        <v>88.4</v>
      </c>
      <c r="L42" s="192">
        <f>SUM(L43:L48)</f>
        <v>267188.16666666669</v>
      </c>
      <c r="M42" s="192">
        <f>SUM(M43:M48)</f>
        <v>263358.87</v>
      </c>
      <c r="N42" s="193">
        <f>ROUND(M42/L42*100,1)</f>
        <v>98.6</v>
      </c>
      <c r="O42" s="192">
        <f>SUM(O43:O48)</f>
        <v>59278.083333333336</v>
      </c>
      <c r="P42" s="192">
        <f>SUM(P43:P48)</f>
        <v>51917</v>
      </c>
      <c r="Q42" s="193">
        <f>ROUND(P42/O42*100,1)</f>
        <v>87.6</v>
      </c>
      <c r="R42" s="192">
        <f>SUM(R43:R48)</f>
        <v>11535.333333333334</v>
      </c>
      <c r="S42" s="192">
        <f>SUM(S43:S48)</f>
        <v>15786</v>
      </c>
      <c r="T42" s="193">
        <f>ROUND(S42/R42*100,1)</f>
        <v>136.80000000000001</v>
      </c>
      <c r="U42" s="192">
        <f>SUM(U43:U48)</f>
        <v>1250.3333333333335</v>
      </c>
      <c r="V42" s="192">
        <f>SUM(V43:V48)</f>
        <v>1144</v>
      </c>
      <c r="W42" s="193">
        <f>ROUND(V42/U42*100,1)</f>
        <v>91.5</v>
      </c>
      <c r="X42" s="192">
        <f t="shared" ref="X42:AR42" si="44">SUM(X43:X48)</f>
        <v>359707</v>
      </c>
      <c r="Y42" s="192">
        <f t="shared" si="44"/>
        <v>107393</v>
      </c>
      <c r="Z42" s="192">
        <f t="shared" si="44"/>
        <v>93.87</v>
      </c>
      <c r="AA42" s="192">
        <f t="shared" si="44"/>
        <v>141350</v>
      </c>
      <c r="AB42" s="192">
        <f t="shared" si="44"/>
        <v>42500</v>
      </c>
      <c r="AC42" s="192">
        <f t="shared" si="44"/>
        <v>124.47</v>
      </c>
      <c r="AD42" s="192">
        <f t="shared" si="44"/>
        <v>119480</v>
      </c>
      <c r="AE42" s="192">
        <f t="shared" si="44"/>
        <v>17525</v>
      </c>
      <c r="AF42" s="192">
        <f t="shared" si="44"/>
        <v>146.75</v>
      </c>
      <c r="AG42" s="192">
        <f t="shared" si="44"/>
        <v>840670</v>
      </c>
      <c r="AH42" s="192">
        <f t="shared" si="44"/>
        <v>291478</v>
      </c>
      <c r="AI42" s="192">
        <f t="shared" si="44"/>
        <v>146.75</v>
      </c>
      <c r="AJ42" s="192">
        <f t="shared" si="44"/>
        <v>304128</v>
      </c>
      <c r="AK42" s="192">
        <f t="shared" si="44"/>
        <v>64667</v>
      </c>
      <c r="AL42" s="192">
        <f t="shared" si="44"/>
        <v>197.69</v>
      </c>
      <c r="AM42" s="192">
        <f t="shared" si="44"/>
        <v>63713</v>
      </c>
      <c r="AN42" s="192">
        <f t="shared" si="44"/>
        <v>12584</v>
      </c>
      <c r="AO42" s="192">
        <f t="shared" si="44"/>
        <v>171.57</v>
      </c>
      <c r="AP42" s="192">
        <f t="shared" si="44"/>
        <v>7600</v>
      </c>
      <c r="AQ42" s="192">
        <f t="shared" si="44"/>
        <v>1364</v>
      </c>
      <c r="AR42" s="192">
        <f t="shared" si="44"/>
        <v>172.05</v>
      </c>
    </row>
    <row r="43" spans="1:44" ht="15" customHeight="1" x14ac:dyDescent="0.2">
      <c r="A43" s="66">
        <v>33</v>
      </c>
      <c r="B43" s="67" t="s">
        <v>208</v>
      </c>
      <c r="C43" s="189">
        <f t="shared" ref="C43:C48" si="45">Y43/12*11</f>
        <v>14012.166666666666</v>
      </c>
      <c r="D43" s="189">
        <f>[4]роддом!$C$128</f>
        <v>14127</v>
      </c>
      <c r="E43" s="190">
        <f t="shared" si="16"/>
        <v>100.81952588821619</v>
      </c>
      <c r="F43" s="189">
        <f t="shared" ref="F43:F48" si="46">AB43/12*11</f>
        <v>3221.1666666666665</v>
      </c>
      <c r="G43" s="189">
        <f>[4]роддом!$O$128</f>
        <v>2379</v>
      </c>
      <c r="H43" s="191">
        <f t="shared" si="18"/>
        <v>73.900000000000006</v>
      </c>
      <c r="I43" s="189">
        <f t="shared" ref="I43:I48" si="47">AE43/12*11</f>
        <v>0</v>
      </c>
      <c r="J43" s="189">
        <f>[4]роддом!$W$128</f>
        <v>0</v>
      </c>
      <c r="K43" s="191"/>
      <c r="L43" s="189">
        <f t="shared" ref="L43:L48" si="48">AH43/12*11</f>
        <v>24225.666666666668</v>
      </c>
      <c r="M43" s="189">
        <f>[4]роддом!$S$128</f>
        <v>23189.17</v>
      </c>
      <c r="N43" s="191">
        <f>ROUND(M43/L43*100,1)</f>
        <v>95.7</v>
      </c>
      <c r="O43" s="189">
        <f t="shared" ref="O43:O48" si="49">AK43/12*11</f>
        <v>0</v>
      </c>
      <c r="P43" s="189">
        <f>[4]роддом!$AA$128</f>
        <v>0</v>
      </c>
      <c r="Q43" s="191"/>
      <c r="R43" s="189">
        <f t="shared" ref="R43:R48" si="50">AN43/12*11</f>
        <v>0</v>
      </c>
      <c r="S43" s="189">
        <f>[4]роддом!$G$128</f>
        <v>0</v>
      </c>
      <c r="T43" s="191"/>
      <c r="U43" s="189">
        <f t="shared" ref="U43:U48" si="51">AQ43/12*11</f>
        <v>0</v>
      </c>
      <c r="V43" s="189"/>
      <c r="W43" s="191"/>
      <c r="X43" s="130">
        <v>40000</v>
      </c>
      <c r="Y43" s="299">
        <v>15286</v>
      </c>
      <c r="Z43" s="308">
        <v>44.79</v>
      </c>
      <c r="AA43" s="309">
        <v>8400</v>
      </c>
      <c r="AB43" s="299">
        <v>3514</v>
      </c>
      <c r="AC43" s="299">
        <v>46.88</v>
      </c>
      <c r="AD43" s="310">
        <v>2500</v>
      </c>
      <c r="AE43" s="299">
        <v>0</v>
      </c>
      <c r="AF43" s="311">
        <v>46.38</v>
      </c>
      <c r="AG43" s="312">
        <v>44638</v>
      </c>
      <c r="AH43" s="299">
        <v>26428</v>
      </c>
      <c r="AI43" s="299">
        <v>46.38</v>
      </c>
      <c r="AJ43" s="313">
        <v>750</v>
      </c>
      <c r="AK43" s="299">
        <v>0</v>
      </c>
      <c r="AL43" s="299">
        <v>46.38</v>
      </c>
      <c r="AM43" s="314"/>
      <c r="AN43" s="331">
        <f>ROUND(AM43*AO43/100,0)</f>
        <v>0</v>
      </c>
      <c r="AO43" s="323">
        <v>46.38</v>
      </c>
      <c r="AP43" s="324"/>
      <c r="AQ43" s="299">
        <f>ROUND(AP43*AR43/100,0)</f>
        <v>0</v>
      </c>
      <c r="AR43" s="228">
        <v>46.38</v>
      </c>
    </row>
    <row r="44" spans="1:44" ht="15" customHeight="1" x14ac:dyDescent="0.2">
      <c r="A44" s="66">
        <v>34</v>
      </c>
      <c r="B44" s="67" t="s">
        <v>209</v>
      </c>
      <c r="C44" s="189">
        <f t="shared" si="45"/>
        <v>26209.333333333332</v>
      </c>
      <c r="D44" s="189">
        <f>[2]муз1!$C$128</f>
        <v>26090</v>
      </c>
      <c r="E44" s="190">
        <f t="shared" si="16"/>
        <v>99.544691458513512</v>
      </c>
      <c r="F44" s="189">
        <f t="shared" si="46"/>
        <v>19402.166666666664</v>
      </c>
      <c r="G44" s="189">
        <f>[2]муз1!$O$128</f>
        <v>17400</v>
      </c>
      <c r="H44" s="191">
        <f t="shared" si="18"/>
        <v>89.7</v>
      </c>
      <c r="I44" s="189">
        <f t="shared" si="47"/>
        <v>10570.083333333332</v>
      </c>
      <c r="J44" s="189">
        <f>[2]муз1!$W$128</f>
        <v>9643</v>
      </c>
      <c r="K44" s="191">
        <f>ROUND(J44/I44*100,1)</f>
        <v>91.2</v>
      </c>
      <c r="L44" s="189">
        <f t="shared" si="48"/>
        <v>101218.33333333333</v>
      </c>
      <c r="M44" s="189">
        <f>[2]муз1!$S$128</f>
        <v>97383</v>
      </c>
      <c r="N44" s="191">
        <f t="shared" ref="N44:N58" si="52">ROUND(M44/L44*100,1)</f>
        <v>96.2</v>
      </c>
      <c r="O44" s="189">
        <f t="shared" si="49"/>
        <v>21461</v>
      </c>
      <c r="P44" s="189">
        <f>[2]муз1!$AA$128</f>
        <v>19589</v>
      </c>
      <c r="Q44" s="191">
        <f t="shared" ref="Q44:Q61" si="53">ROUND(P44/O44*100,1)</f>
        <v>91.3</v>
      </c>
      <c r="R44" s="189">
        <f t="shared" si="50"/>
        <v>0</v>
      </c>
      <c r="S44" s="189">
        <f>[2]муз1!$G$128</f>
        <v>0</v>
      </c>
      <c r="T44" s="191"/>
      <c r="U44" s="189">
        <f t="shared" si="51"/>
        <v>1250.3333333333335</v>
      </c>
      <c r="V44" s="189">
        <f>[2]муз1!$K$128</f>
        <v>1144</v>
      </c>
      <c r="W44" s="191">
        <f>ROUND(V44/U44*100,1)</f>
        <v>91.5</v>
      </c>
      <c r="X44" s="130">
        <v>102000</v>
      </c>
      <c r="Y44" s="299">
        <v>28592</v>
      </c>
      <c r="Z44" s="308">
        <v>24.6</v>
      </c>
      <c r="AA44" s="309">
        <v>63000</v>
      </c>
      <c r="AB44" s="299">
        <v>21166</v>
      </c>
      <c r="AC44" s="299">
        <v>27.13</v>
      </c>
      <c r="AD44" s="310">
        <v>88261</v>
      </c>
      <c r="AE44" s="299">
        <v>11531</v>
      </c>
      <c r="AF44" s="311">
        <v>20.54</v>
      </c>
      <c r="AG44" s="312">
        <v>317918</v>
      </c>
      <c r="AH44" s="299">
        <v>110420</v>
      </c>
      <c r="AI44" s="299">
        <v>20.54</v>
      </c>
      <c r="AJ44" s="313">
        <v>129370</v>
      </c>
      <c r="AK44" s="299">
        <v>23412</v>
      </c>
      <c r="AL44" s="299">
        <v>20.54</v>
      </c>
      <c r="AM44" s="314"/>
      <c r="AN44" s="299">
        <f>ROUND(AM44*AO44/100,0)</f>
        <v>0</v>
      </c>
      <c r="AO44" s="323">
        <v>20.54</v>
      </c>
      <c r="AP44" s="324">
        <f>15200-7600</f>
        <v>7600</v>
      </c>
      <c r="AQ44" s="299">
        <v>1364</v>
      </c>
      <c r="AR44" s="228">
        <v>20.54</v>
      </c>
    </row>
    <row r="45" spans="1:44" ht="15" customHeight="1" x14ac:dyDescent="0.2">
      <c r="A45" s="66">
        <v>35</v>
      </c>
      <c r="B45" s="67" t="s">
        <v>210</v>
      </c>
      <c r="C45" s="189">
        <f t="shared" si="45"/>
        <v>58222.083333333336</v>
      </c>
      <c r="D45" s="189">
        <f>'[4]муз2 '!$C$128</f>
        <v>55861</v>
      </c>
      <c r="E45" s="190">
        <f t="shared" si="16"/>
        <v>95.944694524557548</v>
      </c>
      <c r="F45" s="189">
        <f t="shared" si="46"/>
        <v>12401.583333333334</v>
      </c>
      <c r="G45" s="189">
        <f>'[4]муз2 '!$O$128</f>
        <v>10991</v>
      </c>
      <c r="H45" s="191">
        <f t="shared" si="18"/>
        <v>88.6</v>
      </c>
      <c r="I45" s="189">
        <f t="shared" si="47"/>
        <v>2748.166666666667</v>
      </c>
      <c r="J45" s="189">
        <f>'[4]муз2 '!$W$128</f>
        <v>2276</v>
      </c>
      <c r="K45" s="191">
        <f>ROUND(J45/I45*100,1)</f>
        <v>82.8</v>
      </c>
      <c r="L45" s="189">
        <f t="shared" si="48"/>
        <v>72755.833333333343</v>
      </c>
      <c r="M45" s="189">
        <f>'[4]муз2 '!$S$128</f>
        <v>69250.14</v>
      </c>
      <c r="N45" s="191">
        <f t="shared" si="52"/>
        <v>95.2</v>
      </c>
      <c r="O45" s="189">
        <f t="shared" si="49"/>
        <v>24065.25</v>
      </c>
      <c r="P45" s="189">
        <f>'[4]муз2 '!$AA$128</f>
        <v>21658</v>
      </c>
      <c r="Q45" s="191">
        <f t="shared" si="53"/>
        <v>90</v>
      </c>
      <c r="R45" s="189">
        <f t="shared" si="50"/>
        <v>0</v>
      </c>
      <c r="S45" s="189">
        <f>'[4]муз2 '!$G$128</f>
        <v>0</v>
      </c>
      <c r="T45" s="191"/>
      <c r="U45" s="189">
        <f t="shared" si="51"/>
        <v>0</v>
      </c>
      <c r="V45" s="189">
        <f>[4]Гал!$K$128</f>
        <v>0</v>
      </c>
      <c r="W45" s="191"/>
      <c r="X45" s="130">
        <v>217707</v>
      </c>
      <c r="Y45" s="299">
        <v>63515</v>
      </c>
      <c r="Z45" s="308">
        <v>24.48</v>
      </c>
      <c r="AA45" s="309">
        <v>52550</v>
      </c>
      <c r="AB45" s="299">
        <v>13529</v>
      </c>
      <c r="AC45" s="299">
        <v>29.99</v>
      </c>
      <c r="AD45" s="310">
        <v>10649</v>
      </c>
      <c r="AE45" s="299">
        <v>2998</v>
      </c>
      <c r="AF45" s="311">
        <v>22.24</v>
      </c>
      <c r="AG45" s="312">
        <v>256109</v>
      </c>
      <c r="AH45" s="299">
        <v>79370</v>
      </c>
      <c r="AI45" s="299">
        <v>22.24</v>
      </c>
      <c r="AJ45" s="313">
        <v>87725</v>
      </c>
      <c r="AK45" s="299">
        <v>26253</v>
      </c>
      <c r="AL45" s="299">
        <v>22.24</v>
      </c>
      <c r="AM45" s="314"/>
      <c r="AN45" s="299">
        <f>ROUND(AM45*AO45/100,0)</f>
        <v>0</v>
      </c>
      <c r="AO45" s="323">
        <v>22.24</v>
      </c>
      <c r="AP45" s="324"/>
      <c r="AQ45" s="299">
        <f>ROUND(AP45*AR45/100,0)</f>
        <v>0</v>
      </c>
      <c r="AR45" s="228">
        <v>22.24</v>
      </c>
    </row>
    <row r="46" spans="1:44" ht="15" customHeight="1" x14ac:dyDescent="0.2">
      <c r="A46" s="66">
        <v>36</v>
      </c>
      <c r="B46" s="67" t="s">
        <v>212</v>
      </c>
      <c r="C46" s="189">
        <f t="shared" si="45"/>
        <v>0</v>
      </c>
      <c r="D46" s="189">
        <f>[4]стомНер!$C$128</f>
        <v>0</v>
      </c>
      <c r="E46" s="190"/>
      <c r="F46" s="189">
        <f t="shared" si="46"/>
        <v>3933.4166666666665</v>
      </c>
      <c r="G46" s="189">
        <f>[4]полик4!$O$128</f>
        <v>3480</v>
      </c>
      <c r="H46" s="191">
        <f t="shared" si="18"/>
        <v>88.5</v>
      </c>
      <c r="I46" s="189">
        <f t="shared" si="47"/>
        <v>2746.333333333333</v>
      </c>
      <c r="J46" s="189">
        <f>[4]полик4!$W$128</f>
        <v>2279</v>
      </c>
      <c r="K46" s="191">
        <f>ROUND(J46/I46*100,1)</f>
        <v>83</v>
      </c>
      <c r="L46" s="189">
        <f t="shared" si="48"/>
        <v>27738.333333333332</v>
      </c>
      <c r="M46" s="189">
        <f>[4]полик4!$S$128</f>
        <v>28584</v>
      </c>
      <c r="N46" s="191">
        <f t="shared" si="52"/>
        <v>103</v>
      </c>
      <c r="O46" s="189">
        <f t="shared" si="49"/>
        <v>7976.833333333333</v>
      </c>
      <c r="P46" s="189">
        <f>[4]полик4!$AA$128</f>
        <v>7305</v>
      </c>
      <c r="Q46" s="191">
        <f t="shared" si="53"/>
        <v>91.6</v>
      </c>
      <c r="R46" s="189">
        <f t="shared" si="50"/>
        <v>0</v>
      </c>
      <c r="S46" s="189">
        <f>[4]полик4!$G$128</f>
        <v>0</v>
      </c>
      <c r="T46" s="191"/>
      <c r="U46" s="189">
        <f t="shared" si="51"/>
        <v>0</v>
      </c>
      <c r="V46" s="189">
        <f>[4]Гал!$K$128</f>
        <v>0</v>
      </c>
      <c r="W46" s="191"/>
      <c r="X46" s="130"/>
      <c r="Y46" s="299">
        <f>ROUND(X46*Z46/100,0)</f>
        <v>0</v>
      </c>
      <c r="Z46" s="308"/>
      <c r="AA46" s="309">
        <v>17400</v>
      </c>
      <c r="AB46" s="299">
        <v>4291</v>
      </c>
      <c r="AC46" s="299">
        <v>20.47</v>
      </c>
      <c r="AD46" s="310">
        <v>17570</v>
      </c>
      <c r="AE46" s="299">
        <v>2996</v>
      </c>
      <c r="AF46" s="311">
        <v>31.52</v>
      </c>
      <c r="AG46" s="312">
        <v>96688</v>
      </c>
      <c r="AH46" s="299">
        <v>30260</v>
      </c>
      <c r="AI46" s="299">
        <v>31.52</v>
      </c>
      <c r="AJ46" s="313">
        <v>53447</v>
      </c>
      <c r="AK46" s="299">
        <v>8702</v>
      </c>
      <c r="AL46" s="299">
        <v>31.52</v>
      </c>
      <c r="AM46" s="314"/>
      <c r="AN46" s="299">
        <f>ROUND(AM46*AO46/100,0)</f>
        <v>0</v>
      </c>
      <c r="AO46" s="323">
        <v>31.52</v>
      </c>
      <c r="AP46" s="324"/>
      <c r="AQ46" s="299">
        <f>ROUND(AP46*AR46/100,0)</f>
        <v>0</v>
      </c>
      <c r="AR46" s="228">
        <v>31.52</v>
      </c>
    </row>
    <row r="47" spans="1:44" ht="15" customHeight="1" x14ac:dyDescent="0.2">
      <c r="A47" s="66">
        <v>37</v>
      </c>
      <c r="B47" s="141" t="s">
        <v>252</v>
      </c>
      <c r="C47" s="189">
        <f t="shared" si="45"/>
        <v>0</v>
      </c>
      <c r="D47" s="189">
        <f>[2]стом1!$C$128</f>
        <v>0</v>
      </c>
      <c r="E47" s="190"/>
      <c r="F47" s="189">
        <f t="shared" si="46"/>
        <v>0</v>
      </c>
      <c r="G47" s="189">
        <f>[2]стом1!$O$128</f>
        <v>0</v>
      </c>
      <c r="H47" s="191"/>
      <c r="I47" s="189">
        <f t="shared" si="47"/>
        <v>0</v>
      </c>
      <c r="J47" s="189">
        <f>[2]стом1!$W$128</f>
        <v>0</v>
      </c>
      <c r="K47" s="191"/>
      <c r="L47" s="189">
        <f t="shared" si="48"/>
        <v>41250</v>
      </c>
      <c r="M47" s="189">
        <f>[2]стом1!$S$128</f>
        <v>44952.560000000005</v>
      </c>
      <c r="N47" s="191">
        <f t="shared" si="52"/>
        <v>109</v>
      </c>
      <c r="O47" s="189">
        <f t="shared" si="49"/>
        <v>5775</v>
      </c>
      <c r="P47" s="189">
        <f>[2]стом1!$AA$128</f>
        <v>3365</v>
      </c>
      <c r="Q47" s="191"/>
      <c r="R47" s="189">
        <f t="shared" si="50"/>
        <v>0</v>
      </c>
      <c r="S47" s="189"/>
      <c r="T47" s="191"/>
      <c r="U47" s="189">
        <f t="shared" si="51"/>
        <v>0</v>
      </c>
      <c r="V47" s="189">
        <f>[4]Гал!$K$128</f>
        <v>0</v>
      </c>
      <c r="W47" s="191"/>
      <c r="X47" s="130"/>
      <c r="Y47" s="299">
        <f>ROUND(X47*Z47/100,0)</f>
        <v>0</v>
      </c>
      <c r="Z47" s="308"/>
      <c r="AA47" s="309"/>
      <c r="AB47" s="299">
        <f>ROUND(AA47*AC47/100,0)</f>
        <v>0</v>
      </c>
      <c r="AC47" s="299"/>
      <c r="AD47" s="310">
        <v>500</v>
      </c>
      <c r="AE47" s="299">
        <v>0</v>
      </c>
      <c r="AF47" s="311">
        <v>26.07</v>
      </c>
      <c r="AG47" s="312">
        <v>125317</v>
      </c>
      <c r="AH47" s="299">
        <v>45000</v>
      </c>
      <c r="AI47" s="299">
        <v>26.07</v>
      </c>
      <c r="AJ47" s="313">
        <v>32836</v>
      </c>
      <c r="AK47" s="299">
        <v>6300</v>
      </c>
      <c r="AL47" s="299">
        <v>26.07</v>
      </c>
      <c r="AM47" s="314"/>
      <c r="AN47" s="299">
        <f>ROUND(AM47*AO47/100,0)</f>
        <v>0</v>
      </c>
      <c r="AO47" s="323">
        <v>26.07</v>
      </c>
      <c r="AP47" s="324"/>
      <c r="AQ47" s="299">
        <f>ROUND(AP47*AR47/100,0)</f>
        <v>0</v>
      </c>
      <c r="AR47" s="228">
        <v>26.07</v>
      </c>
    </row>
    <row r="48" spans="1:44" ht="15" customHeight="1" x14ac:dyDescent="0.2">
      <c r="A48" s="66">
        <v>38</v>
      </c>
      <c r="B48" s="141" t="s">
        <v>218</v>
      </c>
      <c r="C48" s="189">
        <f t="shared" si="45"/>
        <v>0</v>
      </c>
      <c r="D48" s="189">
        <f>[3]смп!$C$128</f>
        <v>0</v>
      </c>
      <c r="E48" s="190"/>
      <c r="F48" s="189">
        <f t="shared" si="46"/>
        <v>0</v>
      </c>
      <c r="G48" s="189">
        <f>[3]смп!$O$128</f>
        <v>0</v>
      </c>
      <c r="H48" s="191"/>
      <c r="I48" s="189">
        <f t="shared" si="47"/>
        <v>0</v>
      </c>
      <c r="J48" s="189">
        <f>[3]смп!$W$128</f>
        <v>0</v>
      </c>
      <c r="K48" s="191"/>
      <c r="L48" s="189">
        <f t="shared" si="48"/>
        <v>0</v>
      </c>
      <c r="M48" s="189">
        <f>[3]смп!$S$128</f>
        <v>0</v>
      </c>
      <c r="N48" s="191"/>
      <c r="O48" s="189">
        <f t="shared" si="49"/>
        <v>0</v>
      </c>
      <c r="P48" s="189">
        <f>[3]смп!$AA$128</f>
        <v>0</v>
      </c>
      <c r="Q48" s="191"/>
      <c r="R48" s="189">
        <f t="shared" si="50"/>
        <v>11535.333333333334</v>
      </c>
      <c r="S48" s="189">
        <f>[3]смп!$G$128</f>
        <v>15786</v>
      </c>
      <c r="T48" s="191">
        <f>ROUND(S48/R48*100,1)</f>
        <v>136.80000000000001</v>
      </c>
      <c r="U48" s="189">
        <f t="shared" si="51"/>
        <v>0</v>
      </c>
      <c r="V48" s="189">
        <f>[3]смп!$K$128</f>
        <v>0</v>
      </c>
      <c r="W48" s="191"/>
      <c r="X48" s="130"/>
      <c r="Y48" s="299">
        <f>ROUND(X48*Z48/100,0)</f>
        <v>0</v>
      </c>
      <c r="Z48" s="308"/>
      <c r="AA48" s="309"/>
      <c r="AB48" s="299">
        <f>ROUND(AA48*AC48/100,0)</f>
        <v>0</v>
      </c>
      <c r="AC48" s="299"/>
      <c r="AD48" s="310"/>
      <c r="AE48" s="299">
        <f>ROUND(AD48*AF48/100,0)</f>
        <v>0</v>
      </c>
      <c r="AF48" s="311"/>
      <c r="AG48" s="312"/>
      <c r="AH48" s="299">
        <f>ROUND(AG48*AI48/100,0)</f>
        <v>0</v>
      </c>
      <c r="AI48" s="299"/>
      <c r="AJ48" s="313"/>
      <c r="AK48" s="299">
        <f>ROUND(AJ48*AL48/100,0)</f>
        <v>0</v>
      </c>
      <c r="AL48" s="299">
        <v>50.94</v>
      </c>
      <c r="AM48" s="314">
        <v>63713</v>
      </c>
      <c r="AN48" s="299">
        <v>12584</v>
      </c>
      <c r="AO48" s="323">
        <f>25.3-0.48</f>
        <v>24.82</v>
      </c>
      <c r="AP48" s="324"/>
      <c r="AQ48" s="299">
        <f>ROUND(AP48*AR48/100,0)</f>
        <v>0</v>
      </c>
      <c r="AR48" s="228">
        <v>25.3</v>
      </c>
    </row>
    <row r="49" spans="1:44" ht="15" customHeight="1" x14ac:dyDescent="0.25">
      <c r="A49" s="66"/>
      <c r="B49" s="277" t="s">
        <v>270</v>
      </c>
      <c r="C49" s="192">
        <f>SUM(C50:C56)</f>
        <v>56457.5</v>
      </c>
      <c r="D49" s="192">
        <f>SUM(D50:D56)</f>
        <v>52846</v>
      </c>
      <c r="E49" s="187">
        <f>ROUND(D49/C49*100,1)</f>
        <v>93.6</v>
      </c>
      <c r="F49" s="192">
        <f>SUM(F50:F56)</f>
        <v>25338.5</v>
      </c>
      <c r="G49" s="192">
        <f>SUM(G50:G56)</f>
        <v>23431</v>
      </c>
      <c r="H49" s="188">
        <f>ROUND(G49/F49*100,1)</f>
        <v>92.5</v>
      </c>
      <c r="I49" s="192">
        <f>SUM(I50:I56)</f>
        <v>9759.7499999999982</v>
      </c>
      <c r="J49" s="192">
        <f>SUM(J50:J56)</f>
        <v>6874</v>
      </c>
      <c r="K49" s="193">
        <f t="shared" ref="K49:K56" si="54">ROUND(J49/I49*100,1)</f>
        <v>70.400000000000006</v>
      </c>
      <c r="L49" s="192">
        <f>SUM(L50:L56)</f>
        <v>218374.75</v>
      </c>
      <c r="M49" s="192">
        <f>SUM(M50:M56)</f>
        <v>221704.64</v>
      </c>
      <c r="N49" s="193">
        <f>ROUND(M49/L49*100,1)</f>
        <v>101.5</v>
      </c>
      <c r="O49" s="192">
        <f>SUM(O50:O56)</f>
        <v>75551.666666666672</v>
      </c>
      <c r="P49" s="192">
        <f>SUM(P50:P56)</f>
        <v>63884</v>
      </c>
      <c r="Q49" s="193">
        <f>ROUND(P49/O49*100,1)</f>
        <v>84.6</v>
      </c>
      <c r="R49" s="192">
        <f>SUM(R50:R56)</f>
        <v>8819.25</v>
      </c>
      <c r="S49" s="192">
        <f t="shared" ref="S49:X49" si="55">SUM(S50:S56)</f>
        <v>8287</v>
      </c>
      <c r="T49" s="193">
        <f>ROUND(S49/R49*100,1)</f>
        <v>94</v>
      </c>
      <c r="U49" s="192">
        <f t="shared" si="55"/>
        <v>0</v>
      </c>
      <c r="V49" s="192">
        <f t="shared" si="55"/>
        <v>0</v>
      </c>
      <c r="W49" s="192">
        <f t="shared" si="55"/>
        <v>0</v>
      </c>
      <c r="X49" s="254">
        <f t="shared" si="55"/>
        <v>148000</v>
      </c>
      <c r="Y49" s="306">
        <f t="shared" ref="Y49:AR49" si="56">SUM(Y50:Y56)</f>
        <v>61590</v>
      </c>
      <c r="Z49" s="306">
        <f t="shared" si="56"/>
        <v>182.89000000000001</v>
      </c>
      <c r="AA49" s="306">
        <f t="shared" si="56"/>
        <v>63852</v>
      </c>
      <c r="AB49" s="306">
        <f t="shared" si="56"/>
        <v>27642</v>
      </c>
      <c r="AC49" s="306">
        <f t="shared" si="56"/>
        <v>208.26999999999998</v>
      </c>
      <c r="AD49" s="306">
        <f t="shared" si="56"/>
        <v>31662</v>
      </c>
      <c r="AE49" s="306">
        <f t="shared" si="56"/>
        <v>10647</v>
      </c>
      <c r="AF49" s="306">
        <f t="shared" si="56"/>
        <v>253.17</v>
      </c>
      <c r="AG49" s="306">
        <f t="shared" si="56"/>
        <v>455987</v>
      </c>
      <c r="AH49" s="306">
        <f t="shared" si="56"/>
        <v>238227</v>
      </c>
      <c r="AI49" s="306">
        <f t="shared" si="56"/>
        <v>253.17</v>
      </c>
      <c r="AJ49" s="306">
        <f t="shared" si="56"/>
        <v>242006</v>
      </c>
      <c r="AK49" s="341">
        <f t="shared" si="56"/>
        <v>82420</v>
      </c>
      <c r="AL49" s="306">
        <f t="shared" si="56"/>
        <v>253.17</v>
      </c>
      <c r="AM49" s="306">
        <f t="shared" si="56"/>
        <v>27726</v>
      </c>
      <c r="AN49" s="306">
        <f t="shared" si="56"/>
        <v>9621</v>
      </c>
      <c r="AO49" s="306">
        <f>SUM(AO50:AO56)</f>
        <v>222.64000000000001</v>
      </c>
      <c r="AP49" s="306">
        <f t="shared" si="56"/>
        <v>0</v>
      </c>
      <c r="AQ49" s="306">
        <f t="shared" si="56"/>
        <v>0</v>
      </c>
      <c r="AR49" s="254">
        <f t="shared" si="56"/>
        <v>174.51999999999998</v>
      </c>
    </row>
    <row r="50" spans="1:44" ht="15" customHeight="1" x14ac:dyDescent="0.2">
      <c r="A50" s="67" t="s">
        <v>270</v>
      </c>
      <c r="B50" s="77" t="s">
        <v>213</v>
      </c>
      <c r="C50" s="189">
        <f t="shared" ref="C50:C56" si="57">Y50/12*11</f>
        <v>13728.916666666666</v>
      </c>
      <c r="D50" s="189">
        <f>[2]костр!$C$128</f>
        <v>12996</v>
      </c>
      <c r="E50" s="190">
        <f>D50/C50*100</f>
        <v>94.661511287003705</v>
      </c>
      <c r="F50" s="189">
        <f t="shared" ref="F50:F56" si="58">AB50/12*11</f>
        <v>2619.833333333333</v>
      </c>
      <c r="G50" s="189">
        <f>[2]костр!$O$128</f>
        <v>2266</v>
      </c>
      <c r="H50" s="191">
        <f>ROUND(G50/F50*100,1)</f>
        <v>86.5</v>
      </c>
      <c r="I50" s="189">
        <f t="shared" ref="I50:I56" si="59">AE50/12*11</f>
        <v>872.66666666666663</v>
      </c>
      <c r="J50" s="189">
        <f>[2]костр!$W$128</f>
        <v>578</v>
      </c>
      <c r="K50" s="191">
        <f t="shared" si="54"/>
        <v>66.2</v>
      </c>
      <c r="L50" s="189">
        <f t="shared" ref="L50:L56" si="60">AH50/12*11</f>
        <v>29622.083333333332</v>
      </c>
      <c r="M50" s="262">
        <f>[2]костр!$S$128</f>
        <v>29126.639999999999</v>
      </c>
      <c r="N50" s="191">
        <f>ROUND(M50/L50*100,1)</f>
        <v>98.3</v>
      </c>
      <c r="O50" s="189">
        <f t="shared" ref="O50:O56" si="61">AK50/12*11</f>
        <v>8916.4166666666679</v>
      </c>
      <c r="P50" s="189">
        <f>[2]костр!$AA$128</f>
        <v>7817</v>
      </c>
      <c r="Q50" s="191">
        <f>ROUND(P50/O50*100,1)</f>
        <v>87.7</v>
      </c>
      <c r="R50" s="189">
        <f t="shared" ref="R50:R56" si="62">AN50/12*11</f>
        <v>0</v>
      </c>
      <c r="S50" s="189">
        <f>[2]костр!$G$128</f>
        <v>0</v>
      </c>
      <c r="T50" s="191"/>
      <c r="U50" s="189">
        <f t="shared" ref="U50:U56" si="63">AQ50/12*11</f>
        <v>0</v>
      </c>
      <c r="V50" s="189">
        <f>[4]Гал!$K$128</f>
        <v>0</v>
      </c>
      <c r="W50" s="191"/>
      <c r="X50" s="189">
        <v>61000</v>
      </c>
      <c r="Y50" s="299">
        <v>14977</v>
      </c>
      <c r="Z50" s="325">
        <v>22.21</v>
      </c>
      <c r="AA50" s="326">
        <v>13652</v>
      </c>
      <c r="AB50" s="299">
        <v>2858</v>
      </c>
      <c r="AC50" s="256">
        <v>30.78</v>
      </c>
      <c r="AD50" s="327">
        <v>13000</v>
      </c>
      <c r="AE50" s="299">
        <v>952</v>
      </c>
      <c r="AF50" s="311">
        <v>22.37</v>
      </c>
      <c r="AG50" s="312">
        <v>128230</v>
      </c>
      <c r="AH50" s="299">
        <v>32315</v>
      </c>
      <c r="AI50" s="299">
        <v>22.37</v>
      </c>
      <c r="AJ50" s="313">
        <v>60452</v>
      </c>
      <c r="AK50" s="299">
        <v>9727</v>
      </c>
      <c r="AL50" s="299">
        <v>22.37</v>
      </c>
      <c r="AM50" s="314">
        <v>0</v>
      </c>
      <c r="AN50" s="331">
        <f>ROUND(AM50*AO50/100,0)</f>
        <v>0</v>
      </c>
      <c r="AO50" s="299">
        <v>22.37</v>
      </c>
      <c r="AP50" s="324"/>
      <c r="AQ50" s="299">
        <f t="shared" ref="AQ50:AQ56" si="64">ROUND(AP50*AR50/100,0)</f>
        <v>0</v>
      </c>
      <c r="AR50" s="228">
        <v>22.37</v>
      </c>
    </row>
    <row r="51" spans="1:44" ht="15" customHeight="1" x14ac:dyDescent="0.2">
      <c r="A51" s="67"/>
      <c r="B51" s="77" t="s">
        <v>242</v>
      </c>
      <c r="C51" s="189">
        <f t="shared" si="57"/>
        <v>11616.916666666666</v>
      </c>
      <c r="D51" s="189">
        <f>[3]ВОЛГ!$C$128</f>
        <v>10967</v>
      </c>
      <c r="E51" s="190">
        <f>D51/C51*100</f>
        <v>94.405428864515116</v>
      </c>
      <c r="F51" s="189">
        <f t="shared" si="58"/>
        <v>4755.6666666666661</v>
      </c>
      <c r="G51" s="189">
        <f>[3]ВОЛГ!$O$128</f>
        <v>4376</v>
      </c>
      <c r="H51" s="191">
        <f>ROUND(G51/F51*100,1)</f>
        <v>92</v>
      </c>
      <c r="I51" s="189">
        <f t="shared" si="59"/>
        <v>799.33333333333337</v>
      </c>
      <c r="J51" s="189">
        <f>[3]ВОЛГ!$W$128</f>
        <v>334</v>
      </c>
      <c r="K51" s="191">
        <f t="shared" si="54"/>
        <v>41.8</v>
      </c>
      <c r="L51" s="189">
        <f t="shared" si="60"/>
        <v>34020.25</v>
      </c>
      <c r="M51" s="189">
        <f>[3]ВОЛГ!$S$128</f>
        <v>35505.730000000003</v>
      </c>
      <c r="N51" s="191">
        <f>ROUND(M51/L51*100,1)</f>
        <v>104.4</v>
      </c>
      <c r="O51" s="189">
        <f t="shared" si="61"/>
        <v>13942.5</v>
      </c>
      <c r="P51" s="189">
        <f>[3]ВОЛГ!$AA$128</f>
        <v>12592</v>
      </c>
      <c r="Q51" s="191">
        <f>ROUND(P51/O51*100,1)</f>
        <v>90.3</v>
      </c>
      <c r="R51" s="189">
        <f t="shared" si="62"/>
        <v>1859.9166666666667</v>
      </c>
      <c r="S51" s="189">
        <f>[3]ВОЛГ!$G$128</f>
        <v>1706</v>
      </c>
      <c r="T51" s="191">
        <f>ROUND(S51/R51*100,1)</f>
        <v>91.7</v>
      </c>
      <c r="U51" s="189">
        <f t="shared" si="63"/>
        <v>0</v>
      </c>
      <c r="V51" s="189">
        <f>[4]Гал!$K$128</f>
        <v>0</v>
      </c>
      <c r="W51" s="191"/>
      <c r="X51" s="130">
        <v>28500</v>
      </c>
      <c r="Y51" s="299">
        <v>12673</v>
      </c>
      <c r="Z51" s="308">
        <v>35.31</v>
      </c>
      <c r="AA51" s="309">
        <v>11500</v>
      </c>
      <c r="AB51" s="299">
        <v>5188</v>
      </c>
      <c r="AC51" s="299">
        <v>45.86</v>
      </c>
      <c r="AD51" s="310">
        <v>3273</v>
      </c>
      <c r="AE51" s="299">
        <v>872</v>
      </c>
      <c r="AF51" s="311">
        <v>41.66</v>
      </c>
      <c r="AG51" s="312">
        <v>39271</v>
      </c>
      <c r="AH51" s="299">
        <f>37080+33</f>
        <v>37113</v>
      </c>
      <c r="AI51" s="299">
        <v>41.66</v>
      </c>
      <c r="AJ51" s="313">
        <v>41165</v>
      </c>
      <c r="AK51" s="299">
        <v>15210</v>
      </c>
      <c r="AL51" s="299">
        <v>41.66</v>
      </c>
      <c r="AM51" s="314">
        <v>5809</v>
      </c>
      <c r="AN51" s="299">
        <v>2029</v>
      </c>
      <c r="AO51" s="299">
        <f>31.54+5.03</f>
        <v>36.57</v>
      </c>
      <c r="AP51" s="324"/>
      <c r="AQ51" s="299">
        <f t="shared" si="64"/>
        <v>0</v>
      </c>
      <c r="AR51" s="228"/>
    </row>
    <row r="52" spans="1:44" ht="15" customHeight="1" x14ac:dyDescent="0.2">
      <c r="A52" s="67"/>
      <c r="B52" s="77" t="s">
        <v>274</v>
      </c>
      <c r="C52" s="189">
        <f t="shared" si="57"/>
        <v>161.33333333333331</v>
      </c>
      <c r="D52" s="189">
        <f>[4]красное!$C$128</f>
        <v>133</v>
      </c>
      <c r="E52" s="190">
        <f>D52/C52*100</f>
        <v>82.43801652892563</v>
      </c>
      <c r="F52" s="189">
        <f t="shared" si="58"/>
        <v>105.41666666666667</v>
      </c>
      <c r="G52" s="189">
        <f>[4]красное!$O$128</f>
        <v>129</v>
      </c>
      <c r="H52" s="191">
        <f>ROUND(G52/F52*100,1)</f>
        <v>122.4</v>
      </c>
      <c r="I52" s="189">
        <f t="shared" si="59"/>
        <v>81.583333333333343</v>
      </c>
      <c r="J52" s="189">
        <f>[4]красное!$W$128</f>
        <v>60</v>
      </c>
      <c r="K52" s="191">
        <f t="shared" si="54"/>
        <v>73.5</v>
      </c>
      <c r="L52" s="189">
        <f t="shared" si="60"/>
        <v>4749.25</v>
      </c>
      <c r="M52" s="189">
        <f>[4]красное!$S$128</f>
        <v>4473.2000000000007</v>
      </c>
      <c r="N52" s="191">
        <f>ROUND(M52/L52*100,1)</f>
        <v>94.2</v>
      </c>
      <c r="O52" s="189">
        <f t="shared" si="61"/>
        <v>1171.5</v>
      </c>
      <c r="P52" s="189">
        <f>[4]красное!$AA$128</f>
        <v>1028</v>
      </c>
      <c r="Q52" s="191">
        <f>ROUND(P52/O52*100,1)</f>
        <v>87.8</v>
      </c>
      <c r="R52" s="189">
        <f t="shared" si="62"/>
        <v>121</v>
      </c>
      <c r="S52" s="189">
        <f>[4]красное!$G$128</f>
        <v>131</v>
      </c>
      <c r="T52" s="191">
        <f>ROUND(S52/R52*100,1)</f>
        <v>108.3</v>
      </c>
      <c r="U52" s="189">
        <f t="shared" si="63"/>
        <v>0</v>
      </c>
      <c r="V52" s="189">
        <f>[4]Гал!$K$128</f>
        <v>0</v>
      </c>
      <c r="W52" s="191"/>
      <c r="X52" s="130">
        <v>3500</v>
      </c>
      <c r="Y52" s="299">
        <v>176</v>
      </c>
      <c r="Z52" s="308">
        <v>22.2</v>
      </c>
      <c r="AA52" s="309">
        <v>6000</v>
      </c>
      <c r="AB52" s="299">
        <v>115</v>
      </c>
      <c r="AC52" s="299">
        <v>3.74</v>
      </c>
      <c r="AD52" s="310">
        <v>1000</v>
      </c>
      <c r="AE52" s="299">
        <v>89</v>
      </c>
      <c r="AF52" s="311">
        <v>3.55</v>
      </c>
      <c r="AG52" s="312">
        <v>39436</v>
      </c>
      <c r="AH52" s="299">
        <v>5181</v>
      </c>
      <c r="AI52" s="299">
        <v>3.55</v>
      </c>
      <c r="AJ52" s="313">
        <v>26656</v>
      </c>
      <c r="AK52" s="299">
        <v>1278</v>
      </c>
      <c r="AL52" s="299">
        <v>3.55</v>
      </c>
      <c r="AM52" s="314">
        <v>4921</v>
      </c>
      <c r="AN52" s="299">
        <v>132</v>
      </c>
      <c r="AO52" s="299">
        <f>2.82-1.64-0.08</f>
        <v>1.0999999999999999</v>
      </c>
      <c r="AP52" s="324"/>
      <c r="AQ52" s="299">
        <f t="shared" si="64"/>
        <v>0</v>
      </c>
      <c r="AR52" s="228"/>
    </row>
    <row r="53" spans="1:44" ht="15" customHeight="1" x14ac:dyDescent="0.2">
      <c r="A53" s="66">
        <v>40</v>
      </c>
      <c r="B53" s="77" t="s">
        <v>244</v>
      </c>
      <c r="C53" s="189">
        <f t="shared" si="57"/>
        <v>26798.75</v>
      </c>
      <c r="D53" s="189">
        <f>[4]нерехта!$C$128</f>
        <v>25327</v>
      </c>
      <c r="E53" s="190">
        <f t="shared" si="16"/>
        <v>94.508139372172209</v>
      </c>
      <c r="F53" s="189">
        <f t="shared" si="58"/>
        <v>13149.583333333334</v>
      </c>
      <c r="G53" s="189">
        <f>[4]нерехта!$O$128</f>
        <v>12488</v>
      </c>
      <c r="H53" s="191">
        <f t="shared" ref="H53:H58" si="65">ROUND(G53/F53*100,1)</f>
        <v>95</v>
      </c>
      <c r="I53" s="189">
        <f t="shared" si="59"/>
        <v>6689.833333333333</v>
      </c>
      <c r="J53" s="189">
        <f>[4]нерехта!$W$128</f>
        <v>5553</v>
      </c>
      <c r="K53" s="191">
        <f t="shared" si="54"/>
        <v>83</v>
      </c>
      <c r="L53" s="189">
        <f t="shared" si="60"/>
        <v>79151.416666666657</v>
      </c>
      <c r="M53" s="189">
        <f>[4]нерехта!$S$128</f>
        <v>78575.02</v>
      </c>
      <c r="N53" s="191">
        <f t="shared" si="52"/>
        <v>99.3</v>
      </c>
      <c r="O53" s="189">
        <f t="shared" si="61"/>
        <v>34860.833333333328</v>
      </c>
      <c r="P53" s="189">
        <f>[4]нерехта!$AA$128</f>
        <v>30408</v>
      </c>
      <c r="Q53" s="191">
        <f t="shared" si="53"/>
        <v>87.2</v>
      </c>
      <c r="R53" s="189">
        <f t="shared" si="62"/>
        <v>5011.4166666666661</v>
      </c>
      <c r="S53" s="189">
        <f>[4]нерехта!$G$128</f>
        <v>4733</v>
      </c>
      <c r="T53" s="191">
        <f>ROUND(S53/R53*100,1)</f>
        <v>94.4</v>
      </c>
      <c r="U53" s="189">
        <f t="shared" si="63"/>
        <v>0</v>
      </c>
      <c r="V53" s="189">
        <f>[4]Гал!$K$128</f>
        <v>0</v>
      </c>
      <c r="W53" s="191"/>
      <c r="X53" s="130">
        <v>44000</v>
      </c>
      <c r="Y53" s="299">
        <v>29235</v>
      </c>
      <c r="Z53" s="308">
        <v>48.69</v>
      </c>
      <c r="AA53" s="309">
        <v>20000</v>
      </c>
      <c r="AB53" s="299">
        <v>14345</v>
      </c>
      <c r="AC53" s="299">
        <v>50.83</v>
      </c>
      <c r="AD53" s="310">
        <v>11365</v>
      </c>
      <c r="AE53" s="299">
        <v>7298</v>
      </c>
      <c r="AF53" s="311">
        <v>45.73</v>
      </c>
      <c r="AG53" s="312">
        <v>106408</v>
      </c>
      <c r="AH53" s="299">
        <v>86347</v>
      </c>
      <c r="AI53" s="299">
        <v>45.73</v>
      </c>
      <c r="AJ53" s="313">
        <v>57770</v>
      </c>
      <c r="AK53" s="299">
        <v>38030</v>
      </c>
      <c r="AL53" s="299">
        <v>45.73</v>
      </c>
      <c r="AM53" s="314">
        <v>9344</v>
      </c>
      <c r="AN53" s="299">
        <v>5467</v>
      </c>
      <c r="AO53" s="299">
        <f>43.13+2.54</f>
        <v>45.67</v>
      </c>
      <c r="AP53" s="324"/>
      <c r="AQ53" s="299">
        <f t="shared" si="64"/>
        <v>0</v>
      </c>
      <c r="AR53" s="228">
        <v>45.73</v>
      </c>
    </row>
    <row r="54" spans="1:44" ht="15" customHeight="1" x14ac:dyDescent="0.2">
      <c r="A54" s="66">
        <v>41</v>
      </c>
      <c r="B54" s="77" t="s">
        <v>214</v>
      </c>
      <c r="C54" s="189">
        <f t="shared" si="57"/>
        <v>0</v>
      </c>
      <c r="D54" s="189">
        <f>[4]стомНер!$C$128</f>
        <v>0</v>
      </c>
      <c r="E54" s="190"/>
      <c r="F54" s="189">
        <f t="shared" si="58"/>
        <v>0</v>
      </c>
      <c r="G54" s="189">
        <f>[4]стомНер!$O$128</f>
        <v>0</v>
      </c>
      <c r="H54" s="191"/>
      <c r="I54" s="189">
        <f t="shared" si="59"/>
        <v>0</v>
      </c>
      <c r="J54" s="189">
        <f>[4]стомНер!$W$128</f>
        <v>0</v>
      </c>
      <c r="K54" s="191"/>
      <c r="L54" s="189">
        <f t="shared" si="60"/>
        <v>25920.583333333332</v>
      </c>
      <c r="M54" s="189">
        <f>[4]стомНер!$S$128</f>
        <v>26449.480000000003</v>
      </c>
      <c r="N54" s="191">
        <f t="shared" si="52"/>
        <v>102</v>
      </c>
      <c r="O54" s="189">
        <f t="shared" si="61"/>
        <v>5365.25</v>
      </c>
      <c r="P54" s="189">
        <f>[4]стомНер!$AA$128</f>
        <v>2570</v>
      </c>
      <c r="Q54" s="191">
        <f t="shared" si="53"/>
        <v>47.9</v>
      </c>
      <c r="R54" s="189">
        <f t="shared" si="62"/>
        <v>0</v>
      </c>
      <c r="S54" s="189">
        <f>[4]стомНер!$G$128</f>
        <v>0</v>
      </c>
      <c r="T54" s="191"/>
      <c r="U54" s="189">
        <f t="shared" si="63"/>
        <v>0</v>
      </c>
      <c r="V54" s="189">
        <f>[4]Гал!$K$128</f>
        <v>0</v>
      </c>
      <c r="W54" s="191"/>
      <c r="X54" s="130"/>
      <c r="Y54" s="299">
        <f>ROUND(X54*Z54/100,0)</f>
        <v>0</v>
      </c>
      <c r="Z54" s="308"/>
      <c r="AA54" s="309"/>
      <c r="AB54" s="299">
        <f>ROUND(AA54*AC54/100,0)</f>
        <v>0</v>
      </c>
      <c r="AC54" s="299"/>
      <c r="AD54" s="310">
        <v>824</v>
      </c>
      <c r="AE54" s="299">
        <v>0</v>
      </c>
      <c r="AF54" s="311">
        <v>61.91</v>
      </c>
      <c r="AG54" s="312">
        <v>32037</v>
      </c>
      <c r="AH54" s="299">
        <v>28277</v>
      </c>
      <c r="AI54" s="299">
        <v>61.91</v>
      </c>
      <c r="AJ54" s="313">
        <v>9443</v>
      </c>
      <c r="AK54" s="299">
        <v>5853</v>
      </c>
      <c r="AL54" s="299">
        <v>61.91</v>
      </c>
      <c r="AM54" s="314"/>
      <c r="AN54" s="299">
        <f>ROUND(AM54*AO54/100,0)</f>
        <v>0</v>
      </c>
      <c r="AO54" s="299">
        <v>61.91</v>
      </c>
      <c r="AP54" s="324"/>
      <c r="AQ54" s="299">
        <f t="shared" si="64"/>
        <v>0</v>
      </c>
      <c r="AR54" s="228">
        <v>28.47</v>
      </c>
    </row>
    <row r="55" spans="1:44" ht="15" customHeight="1" x14ac:dyDescent="0.2">
      <c r="A55" s="66">
        <v>42</v>
      </c>
      <c r="B55" s="77" t="s">
        <v>245</v>
      </c>
      <c r="C55" s="189">
        <f t="shared" si="57"/>
        <v>2117.5</v>
      </c>
      <c r="D55" s="189">
        <f>[3]ОСТР!$C$128</f>
        <v>1907</v>
      </c>
      <c r="E55" s="190">
        <f t="shared" si="16"/>
        <v>90.059031877213698</v>
      </c>
      <c r="F55" s="189">
        <f t="shared" si="58"/>
        <v>1031.25</v>
      </c>
      <c r="G55" s="189">
        <f>[3]ОСТР!$O$128</f>
        <v>796</v>
      </c>
      <c r="H55" s="191">
        <f t="shared" si="65"/>
        <v>77.2</v>
      </c>
      <c r="I55" s="189">
        <f t="shared" si="59"/>
        <v>443.66666666666669</v>
      </c>
      <c r="J55" s="189">
        <f>[3]ОСТР!$W$128</f>
        <v>264</v>
      </c>
      <c r="K55" s="191">
        <f t="shared" si="54"/>
        <v>59.5</v>
      </c>
      <c r="L55" s="189">
        <f t="shared" si="60"/>
        <v>17812.666666666664</v>
      </c>
      <c r="M55" s="189">
        <f>[3]ОСТР!$S$128</f>
        <v>17261.68</v>
      </c>
      <c r="N55" s="191">
        <f t="shared" si="52"/>
        <v>96.9</v>
      </c>
      <c r="O55" s="189">
        <f t="shared" si="61"/>
        <v>4425.6666666666661</v>
      </c>
      <c r="P55" s="189">
        <f>[3]ОСТР!$AA$128</f>
        <v>3519</v>
      </c>
      <c r="Q55" s="191">
        <f t="shared" si="53"/>
        <v>79.5</v>
      </c>
      <c r="R55" s="189">
        <f t="shared" si="62"/>
        <v>462</v>
      </c>
      <c r="S55" s="189">
        <f>[3]ОСТР!$G$128</f>
        <v>435</v>
      </c>
      <c r="T55" s="191">
        <f>ROUND(S55/R55*100,1)</f>
        <v>94.2</v>
      </c>
      <c r="U55" s="189">
        <f t="shared" si="63"/>
        <v>0</v>
      </c>
      <c r="V55" s="189">
        <f>[4]Гал!$K$128</f>
        <v>0</v>
      </c>
      <c r="W55" s="191"/>
      <c r="X55" s="130">
        <v>6000</v>
      </c>
      <c r="Y55" s="299">
        <v>2310</v>
      </c>
      <c r="Z55" s="308">
        <v>24.71</v>
      </c>
      <c r="AA55" s="309">
        <v>5700</v>
      </c>
      <c r="AB55" s="299">
        <v>1125</v>
      </c>
      <c r="AC55" s="299">
        <v>28.47</v>
      </c>
      <c r="AD55" s="310">
        <v>1200</v>
      </c>
      <c r="AE55" s="299">
        <v>484</v>
      </c>
      <c r="AF55" s="311">
        <v>33.85</v>
      </c>
      <c r="AG55" s="312">
        <v>37238</v>
      </c>
      <c r="AH55" s="299">
        <v>19432</v>
      </c>
      <c r="AI55" s="299">
        <v>33.85</v>
      </c>
      <c r="AJ55" s="313">
        <v>28498</v>
      </c>
      <c r="AK55" s="299">
        <v>4828</v>
      </c>
      <c r="AL55" s="299">
        <v>33.85</v>
      </c>
      <c r="AM55" s="314">
        <v>3688</v>
      </c>
      <c r="AN55" s="299">
        <v>504</v>
      </c>
      <c r="AO55" s="299">
        <f>8.69+6.62</f>
        <v>15.309999999999999</v>
      </c>
      <c r="AP55" s="324"/>
      <c r="AQ55" s="299">
        <f t="shared" si="64"/>
        <v>0</v>
      </c>
      <c r="AR55" s="228">
        <v>33.85</v>
      </c>
    </row>
    <row r="56" spans="1:44" ht="15" customHeight="1" x14ac:dyDescent="0.2">
      <c r="A56" s="66">
        <v>43</v>
      </c>
      <c r="B56" s="77" t="s">
        <v>246</v>
      </c>
      <c r="C56" s="189">
        <f t="shared" si="57"/>
        <v>2034.0833333333333</v>
      </c>
      <c r="D56" s="189">
        <f>[4]суд!$C$128</f>
        <v>1516</v>
      </c>
      <c r="E56" s="190">
        <f t="shared" si="16"/>
        <v>74.529886517268224</v>
      </c>
      <c r="F56" s="189">
        <f t="shared" si="58"/>
        <v>3676.75</v>
      </c>
      <c r="G56" s="189">
        <f>[4]суд!$O$128</f>
        <v>3376</v>
      </c>
      <c r="H56" s="191">
        <f t="shared" si="65"/>
        <v>91.8</v>
      </c>
      <c r="I56" s="189">
        <f t="shared" si="59"/>
        <v>872.66666666666663</v>
      </c>
      <c r="J56" s="189">
        <f>[4]суд!$W$128</f>
        <v>85</v>
      </c>
      <c r="K56" s="191">
        <f t="shared" si="54"/>
        <v>9.6999999999999993</v>
      </c>
      <c r="L56" s="189">
        <f t="shared" si="60"/>
        <v>27098.5</v>
      </c>
      <c r="M56" s="189">
        <f>[4]суд!$S$128</f>
        <v>30312.89</v>
      </c>
      <c r="N56" s="191">
        <f t="shared" si="52"/>
        <v>111.9</v>
      </c>
      <c r="O56" s="189">
        <f t="shared" si="61"/>
        <v>6869.5</v>
      </c>
      <c r="P56" s="189">
        <f>[4]суд!$AA$128</f>
        <v>5950</v>
      </c>
      <c r="Q56" s="191">
        <f t="shared" si="53"/>
        <v>86.6</v>
      </c>
      <c r="R56" s="189">
        <f t="shared" si="62"/>
        <v>1364.9166666666665</v>
      </c>
      <c r="S56" s="189">
        <f>[4]суд!$G$128</f>
        <v>1282</v>
      </c>
      <c r="T56" s="191">
        <f>ROUND(S56/R56*100,1)</f>
        <v>93.9</v>
      </c>
      <c r="U56" s="189">
        <f t="shared" si="63"/>
        <v>0</v>
      </c>
      <c r="V56" s="189">
        <f>[4]Гал!$K$128</f>
        <v>0</v>
      </c>
      <c r="W56" s="191"/>
      <c r="X56" s="130">
        <v>5000</v>
      </c>
      <c r="Y56" s="299">
        <v>2219</v>
      </c>
      <c r="Z56" s="308">
        <v>29.77</v>
      </c>
      <c r="AA56" s="309">
        <v>7000</v>
      </c>
      <c r="AB56" s="299">
        <v>4011</v>
      </c>
      <c r="AC56" s="299">
        <v>48.59</v>
      </c>
      <c r="AD56" s="310">
        <v>1000</v>
      </c>
      <c r="AE56" s="299">
        <v>952</v>
      </c>
      <c r="AF56" s="311">
        <v>44.1</v>
      </c>
      <c r="AG56" s="312">
        <v>73367</v>
      </c>
      <c r="AH56" s="299">
        <v>29562</v>
      </c>
      <c r="AI56" s="299">
        <v>44.1</v>
      </c>
      <c r="AJ56" s="313">
        <v>18022</v>
      </c>
      <c r="AK56" s="299">
        <v>7494</v>
      </c>
      <c r="AL56" s="299">
        <v>44.1</v>
      </c>
      <c r="AM56" s="314">
        <v>3964</v>
      </c>
      <c r="AN56" s="299">
        <v>1489</v>
      </c>
      <c r="AO56" s="299">
        <f>38.58+1.13</f>
        <v>39.71</v>
      </c>
      <c r="AP56" s="324"/>
      <c r="AQ56" s="299">
        <f t="shared" si="64"/>
        <v>0</v>
      </c>
      <c r="AR56" s="228">
        <v>44.1</v>
      </c>
    </row>
    <row r="57" spans="1:44" ht="15" customHeight="1" x14ac:dyDescent="0.25">
      <c r="A57" s="66">
        <v>44</v>
      </c>
      <c r="B57" s="192" t="s">
        <v>276</v>
      </c>
      <c r="C57" s="192">
        <f>SUM(C58:C73)</f>
        <v>2980.083333333333</v>
      </c>
      <c r="D57" s="192">
        <f>SUM(D58:D73)</f>
        <v>1933</v>
      </c>
      <c r="E57" s="187">
        <f>ROUND(D57/C57*100,1)</f>
        <v>64.900000000000006</v>
      </c>
      <c r="F57" s="192">
        <f>SUM(F58:F73)</f>
        <v>5498.166666666667</v>
      </c>
      <c r="G57" s="192">
        <f>SUM(G58:G73)</f>
        <v>3810</v>
      </c>
      <c r="H57" s="276">
        <f t="shared" si="65"/>
        <v>69.3</v>
      </c>
      <c r="I57" s="192">
        <f>SUM(I58:I73)</f>
        <v>0</v>
      </c>
      <c r="J57" s="192">
        <f>SUM(J58:J73)</f>
        <v>12</v>
      </c>
      <c r="K57" s="193"/>
      <c r="L57" s="192">
        <f>SUM(L58:L73)</f>
        <v>36341.250000000007</v>
      </c>
      <c r="M57" s="192">
        <f>SUM(M58:M73)</f>
        <v>36803.300000000003</v>
      </c>
      <c r="N57" s="276">
        <f t="shared" si="52"/>
        <v>101.3</v>
      </c>
      <c r="O57" s="192">
        <f>SUM(O58:O73)</f>
        <v>8241.75</v>
      </c>
      <c r="P57" s="192">
        <f>SUM(P58:P73)</f>
        <v>3648</v>
      </c>
      <c r="Q57" s="276">
        <f t="shared" si="53"/>
        <v>44.3</v>
      </c>
      <c r="R57" s="192">
        <f>SUM(R58:R73)</f>
        <v>0</v>
      </c>
      <c r="S57" s="192">
        <f>SUM(S58:S73)</f>
        <v>0</v>
      </c>
      <c r="T57" s="193" t="e">
        <f>ROUND(S57/R57*100,1)</f>
        <v>#DIV/0!</v>
      </c>
      <c r="U57" s="192">
        <f>SUM(U58:U73)</f>
        <v>1821.4166666666667</v>
      </c>
      <c r="V57" s="192">
        <f>SUM(V58:V73)</f>
        <v>1559</v>
      </c>
      <c r="W57" s="193">
        <f>ROUND(V57/U57*100,1)</f>
        <v>85.6</v>
      </c>
      <c r="X57" s="254">
        <f>SUM(X58:X73)</f>
        <v>8500</v>
      </c>
      <c r="Y57" s="306">
        <f t="shared" ref="Y57:AR57" si="66">SUM(Y58:Y73)</f>
        <v>3251</v>
      </c>
      <c r="Z57" s="306">
        <f t="shared" si="66"/>
        <v>90.44</v>
      </c>
      <c r="AA57" s="306">
        <f t="shared" si="66"/>
        <v>11126</v>
      </c>
      <c r="AB57" s="306">
        <f t="shared" si="66"/>
        <v>5998</v>
      </c>
      <c r="AC57" s="306">
        <f t="shared" si="66"/>
        <v>150.53</v>
      </c>
      <c r="AD57" s="306">
        <f t="shared" si="66"/>
        <v>30</v>
      </c>
      <c r="AE57" s="306">
        <f t="shared" si="66"/>
        <v>0</v>
      </c>
      <c r="AF57" s="306">
        <f t="shared" si="66"/>
        <v>344.23</v>
      </c>
      <c r="AG57" s="306">
        <f t="shared" si="66"/>
        <v>97818</v>
      </c>
      <c r="AH57" s="306">
        <f t="shared" si="66"/>
        <v>39645</v>
      </c>
      <c r="AI57" s="306">
        <f t="shared" si="66"/>
        <v>365.05</v>
      </c>
      <c r="AJ57" s="306">
        <f t="shared" si="66"/>
        <v>43235</v>
      </c>
      <c r="AK57" s="341">
        <f t="shared" si="66"/>
        <v>8991</v>
      </c>
      <c r="AL57" s="306">
        <f t="shared" si="66"/>
        <v>365.05</v>
      </c>
      <c r="AM57" s="306">
        <f t="shared" si="66"/>
        <v>0</v>
      </c>
      <c r="AN57" s="306">
        <f t="shared" si="66"/>
        <v>0</v>
      </c>
      <c r="AO57" s="306">
        <f>SUM(AO58:AO73)</f>
        <v>365.05</v>
      </c>
      <c r="AP57" s="306">
        <f t="shared" si="66"/>
        <v>10762</v>
      </c>
      <c r="AQ57" s="306">
        <f t="shared" si="66"/>
        <v>1987</v>
      </c>
      <c r="AR57" s="254">
        <f t="shared" si="66"/>
        <v>365.05</v>
      </c>
    </row>
    <row r="58" spans="1:44" ht="15" customHeight="1" x14ac:dyDescent="0.2">
      <c r="A58" s="66">
        <v>45</v>
      </c>
      <c r="B58" s="67" t="s">
        <v>197</v>
      </c>
      <c r="C58" s="189">
        <f t="shared" ref="C58:C73" si="67">Y58/12*11</f>
        <v>1003.75</v>
      </c>
      <c r="D58" s="189">
        <f>[4]увд!$C$128</f>
        <v>832</v>
      </c>
      <c r="E58" s="190">
        <f>D58/C58*100</f>
        <v>82.889165628891661</v>
      </c>
      <c r="F58" s="189">
        <f t="shared" ref="F58:F73" si="68">AB58/12*11</f>
        <v>823.16666666666663</v>
      </c>
      <c r="G58" s="189">
        <f>[4]увд!$O$128</f>
        <v>420</v>
      </c>
      <c r="H58" s="191">
        <f t="shared" si="65"/>
        <v>51</v>
      </c>
      <c r="I58" s="189">
        <f t="shared" ref="I58:I73" si="69">AE58/12*11</f>
        <v>0</v>
      </c>
      <c r="J58" s="189">
        <f>[4]увд!$W$128</f>
        <v>0</v>
      </c>
      <c r="K58" s="191"/>
      <c r="L58" s="189">
        <f t="shared" ref="L58:L73" si="70">AH58/12*11</f>
        <v>1738.9166666666667</v>
      </c>
      <c r="M58" s="189">
        <f>[4]увд!$S$128</f>
        <v>1148.99</v>
      </c>
      <c r="N58" s="191">
        <f t="shared" si="52"/>
        <v>66.099999999999994</v>
      </c>
      <c r="O58" s="189">
        <f t="shared" ref="O58:O73" si="71">AK58/12*11</f>
        <v>371.25</v>
      </c>
      <c r="P58" s="189">
        <f>[4]увд!$AA$128</f>
        <v>258</v>
      </c>
      <c r="Q58" s="191">
        <f t="shared" si="53"/>
        <v>69.5</v>
      </c>
      <c r="R58" s="189">
        <f t="shared" ref="R58:R73" si="72">AN58/12*11</f>
        <v>0</v>
      </c>
      <c r="S58" s="189">
        <f>[4]увд!$G$128</f>
        <v>0</v>
      </c>
      <c r="T58" s="191"/>
      <c r="U58" s="189">
        <f t="shared" ref="U58:U73" si="73">AQ58/12*11</f>
        <v>0</v>
      </c>
      <c r="V58" s="189">
        <f>[4]Гал!$K$128</f>
        <v>0</v>
      </c>
      <c r="W58" s="191"/>
      <c r="X58" s="130">
        <v>3500</v>
      </c>
      <c r="Y58" s="299">
        <v>1095</v>
      </c>
      <c r="Z58" s="308">
        <v>26.07</v>
      </c>
      <c r="AA58" s="309">
        <v>1026</v>
      </c>
      <c r="AB58" s="299">
        <v>898</v>
      </c>
      <c r="AC58" s="299">
        <v>43.99</v>
      </c>
      <c r="AD58" s="310"/>
      <c r="AE58" s="299">
        <f t="shared" ref="AE58:AE73" si="74">ROUND(AD58*AF58/100,0)</f>
        <v>0</v>
      </c>
      <c r="AF58" s="311">
        <v>42.51</v>
      </c>
      <c r="AG58" s="312">
        <v>2141</v>
      </c>
      <c r="AH58" s="299">
        <v>1897</v>
      </c>
      <c r="AI58" s="310">
        <v>42.51</v>
      </c>
      <c r="AJ58" s="313">
        <v>1400</v>
      </c>
      <c r="AK58" s="299">
        <v>405</v>
      </c>
      <c r="AL58" s="299">
        <v>42.51</v>
      </c>
      <c r="AM58" s="314"/>
      <c r="AN58" s="299">
        <f t="shared" ref="AN58:AN73" si="75">ROUND(AM58*AO58/100,0)</f>
        <v>0</v>
      </c>
      <c r="AO58" s="311">
        <v>42.51</v>
      </c>
      <c r="AP58" s="324"/>
      <c r="AQ58" s="299">
        <f t="shared" ref="AQ58:AQ72" si="76">ROUND(AP58*AR58/100,0)</f>
        <v>0</v>
      </c>
      <c r="AR58" s="225">
        <v>42.51</v>
      </c>
    </row>
    <row r="59" spans="1:44" ht="15" customHeight="1" x14ac:dyDescent="0.2">
      <c r="A59" s="66">
        <v>46</v>
      </c>
      <c r="B59" s="67" t="s">
        <v>198</v>
      </c>
      <c r="C59" s="189">
        <f t="shared" si="67"/>
        <v>0</v>
      </c>
      <c r="D59" s="189">
        <f>[3]ФГУ!$C$128</f>
        <v>0</v>
      </c>
      <c r="E59" s="190"/>
      <c r="F59" s="189">
        <f t="shared" si="68"/>
        <v>0</v>
      </c>
      <c r="G59" s="189">
        <f>[3]ФГУ!$O$128</f>
        <v>0</v>
      </c>
      <c r="H59" s="191"/>
      <c r="I59" s="189">
        <f t="shared" si="69"/>
        <v>0</v>
      </c>
      <c r="J59" s="189">
        <f>[3]ФГУ!$W$128</f>
        <v>0</v>
      </c>
      <c r="K59" s="191"/>
      <c r="L59" s="189">
        <f t="shared" si="70"/>
        <v>0</v>
      </c>
      <c r="M59" s="189">
        <f>[3]ФГУ!$S$128</f>
        <v>0</v>
      </c>
      <c r="N59" s="191"/>
      <c r="O59" s="189">
        <f t="shared" si="71"/>
        <v>0</v>
      </c>
      <c r="P59" s="189">
        <f>[3]ФГУ!$AA$128</f>
        <v>0</v>
      </c>
      <c r="Q59" s="191"/>
      <c r="R59" s="189">
        <f t="shared" si="72"/>
        <v>0</v>
      </c>
      <c r="S59" s="189">
        <f>[3]ФГУ!$G$128</f>
        <v>0</v>
      </c>
      <c r="T59" s="191"/>
      <c r="U59" s="189">
        <f t="shared" si="73"/>
        <v>0</v>
      </c>
      <c r="V59" s="189">
        <f>[4]Гал!$K$128</f>
        <v>0</v>
      </c>
      <c r="W59" s="191"/>
      <c r="X59" s="130">
        <v>0</v>
      </c>
      <c r="Y59" s="299">
        <f t="shared" ref="Y59:Y72" si="77">ROUND(X59*Z59/100,0)</f>
        <v>0</v>
      </c>
      <c r="Z59" s="308">
        <f>21.48</f>
        <v>21.48</v>
      </c>
      <c r="AA59" s="309"/>
      <c r="AB59" s="299">
        <f t="shared" ref="AB59:AB70" si="78">ROUND(AA59*AC59/100,0)</f>
        <v>0</v>
      </c>
      <c r="AC59" s="299"/>
      <c r="AD59" s="310"/>
      <c r="AE59" s="299">
        <f t="shared" si="74"/>
        <v>0</v>
      </c>
      <c r="AF59" s="311">
        <f>19.79+1.03</f>
        <v>20.82</v>
      </c>
      <c r="AG59" s="312">
        <f>1407-300</f>
        <v>1107</v>
      </c>
      <c r="AH59" s="299">
        <v>0</v>
      </c>
      <c r="AI59" s="310">
        <f>19.79+1.03</f>
        <v>20.82</v>
      </c>
      <c r="AJ59" s="313">
        <v>1000</v>
      </c>
      <c r="AK59" s="299">
        <v>0</v>
      </c>
      <c r="AL59" s="299">
        <f>19.79+1.03</f>
        <v>20.82</v>
      </c>
      <c r="AM59" s="314"/>
      <c r="AN59" s="299">
        <f t="shared" si="75"/>
        <v>0</v>
      </c>
      <c r="AO59" s="311">
        <f>19.79+1.03</f>
        <v>20.82</v>
      </c>
      <c r="AP59" s="324"/>
      <c r="AQ59" s="299">
        <f t="shared" si="76"/>
        <v>0</v>
      </c>
      <c r="AR59" s="225">
        <f>19.79+1.03</f>
        <v>20.82</v>
      </c>
    </row>
    <row r="60" spans="1:44" ht="15" customHeight="1" x14ac:dyDescent="0.2">
      <c r="A60" s="66">
        <v>47</v>
      </c>
      <c r="B60" s="67" t="s">
        <v>199</v>
      </c>
      <c r="C60" s="189">
        <f t="shared" si="67"/>
        <v>0</v>
      </c>
      <c r="D60" s="189">
        <f>[3]ИК!$C$128</f>
        <v>0</v>
      </c>
      <c r="E60" s="190"/>
      <c r="F60" s="189">
        <f t="shared" si="68"/>
        <v>0</v>
      </c>
      <c r="G60" s="189">
        <f>[3]ИК!$O$128</f>
        <v>0</v>
      </c>
      <c r="H60" s="191"/>
      <c r="I60" s="189">
        <f t="shared" si="69"/>
        <v>0</v>
      </c>
      <c r="J60" s="189">
        <f>[3]ИК!$W$128</f>
        <v>0</v>
      </c>
      <c r="K60" s="191"/>
      <c r="L60" s="189">
        <f t="shared" si="70"/>
        <v>0</v>
      </c>
      <c r="M60" s="189">
        <f>[3]ИК!$S$128</f>
        <v>0</v>
      </c>
      <c r="N60" s="191"/>
      <c r="O60" s="189">
        <f t="shared" si="71"/>
        <v>0</v>
      </c>
      <c r="P60" s="189">
        <f>[3]ИК!$AA$128</f>
        <v>0</v>
      </c>
      <c r="Q60" s="191"/>
      <c r="R60" s="189">
        <f t="shared" si="72"/>
        <v>0</v>
      </c>
      <c r="S60" s="189">
        <f>[3]ИК!$G$128</f>
        <v>0</v>
      </c>
      <c r="T60" s="191"/>
      <c r="U60" s="189">
        <f t="shared" si="73"/>
        <v>0</v>
      </c>
      <c r="V60" s="189">
        <f>[4]Гал!$K$128</f>
        <v>0</v>
      </c>
      <c r="W60" s="191"/>
      <c r="X60" s="130">
        <v>0</v>
      </c>
      <c r="Y60" s="299">
        <f t="shared" si="77"/>
        <v>0</v>
      </c>
      <c r="Z60" s="308">
        <v>21.41</v>
      </c>
      <c r="AA60" s="309"/>
      <c r="AB60" s="299">
        <f t="shared" si="78"/>
        <v>0</v>
      </c>
      <c r="AC60" s="299"/>
      <c r="AD60" s="310">
        <v>30</v>
      </c>
      <c r="AE60" s="299">
        <v>0</v>
      </c>
      <c r="AF60" s="311">
        <f>19.79+1.03</f>
        <v>20.82</v>
      </c>
      <c r="AG60" s="312">
        <f>2345-650</f>
        <v>1695</v>
      </c>
      <c r="AH60" s="299">
        <v>0</v>
      </c>
      <c r="AI60" s="310">
        <f>19.79+1.03</f>
        <v>20.82</v>
      </c>
      <c r="AJ60" s="313">
        <v>1000</v>
      </c>
      <c r="AK60" s="299">
        <v>0</v>
      </c>
      <c r="AL60" s="299">
        <f>19.79+1.03</f>
        <v>20.82</v>
      </c>
      <c r="AM60" s="314"/>
      <c r="AN60" s="299">
        <f t="shared" si="75"/>
        <v>0</v>
      </c>
      <c r="AO60" s="311">
        <f>19.79+1.03</f>
        <v>20.82</v>
      </c>
      <c r="AP60" s="324"/>
      <c r="AQ60" s="299">
        <f t="shared" si="76"/>
        <v>0</v>
      </c>
      <c r="AR60" s="225">
        <f>19.79+1.03</f>
        <v>20.82</v>
      </c>
    </row>
    <row r="61" spans="1:44" ht="15" customHeight="1" x14ac:dyDescent="0.2">
      <c r="A61" s="66">
        <v>48</v>
      </c>
      <c r="B61" s="67" t="s">
        <v>200</v>
      </c>
      <c r="C61" s="189">
        <f t="shared" si="67"/>
        <v>0</v>
      </c>
      <c r="D61" s="189">
        <f>[2]цах!$C$128</f>
        <v>0</v>
      </c>
      <c r="E61" s="190"/>
      <c r="F61" s="189">
        <f t="shared" si="68"/>
        <v>725.08333333333337</v>
      </c>
      <c r="G61" s="189">
        <f>[2]цах!$O$128</f>
        <v>324</v>
      </c>
      <c r="H61" s="191">
        <f>ROUND(G61/F61*100,1)</f>
        <v>44.7</v>
      </c>
      <c r="I61" s="189">
        <f t="shared" si="69"/>
        <v>0</v>
      </c>
      <c r="J61" s="189">
        <f>[2]цах!$W$128</f>
        <v>0</v>
      </c>
      <c r="K61" s="191"/>
      <c r="L61" s="189">
        <f t="shared" si="70"/>
        <v>309.83333333333337</v>
      </c>
      <c r="M61" s="189">
        <f>[2]цах!$S$128</f>
        <v>68</v>
      </c>
      <c r="N61" s="191">
        <f>ROUND(M61/L61*100,1)</f>
        <v>21.9</v>
      </c>
      <c r="O61" s="189">
        <f t="shared" si="71"/>
        <v>708.58333333333337</v>
      </c>
      <c r="P61" s="189">
        <f>[2]цах!$AA$128</f>
        <v>53</v>
      </c>
      <c r="Q61" s="191">
        <f t="shared" si="53"/>
        <v>7.5</v>
      </c>
      <c r="R61" s="189">
        <f t="shared" si="72"/>
        <v>0</v>
      </c>
      <c r="S61" s="189">
        <f>[2]цах!$G$128</f>
        <v>0</v>
      </c>
      <c r="T61" s="191"/>
      <c r="U61" s="189">
        <f t="shared" si="73"/>
        <v>0</v>
      </c>
      <c r="V61" s="189">
        <f>[4]Гал!$K$128</f>
        <v>0</v>
      </c>
      <c r="W61" s="191"/>
      <c r="X61" s="130"/>
      <c r="Y61" s="299">
        <f t="shared" si="77"/>
        <v>0</v>
      </c>
      <c r="Z61" s="308"/>
      <c r="AA61" s="309">
        <v>2100</v>
      </c>
      <c r="AB61" s="299">
        <v>791</v>
      </c>
      <c r="AC61" s="299">
        <v>43.99</v>
      </c>
      <c r="AD61" s="310"/>
      <c r="AE61" s="299">
        <f t="shared" si="74"/>
        <v>0</v>
      </c>
      <c r="AF61" s="311">
        <f>19.79+1.03</f>
        <v>20.82</v>
      </c>
      <c r="AG61" s="312">
        <f>50+950</f>
        <v>1000</v>
      </c>
      <c r="AH61" s="299">
        <v>338</v>
      </c>
      <c r="AI61" s="310">
        <f>19.79+1.03</f>
        <v>20.82</v>
      </c>
      <c r="AJ61" s="313">
        <v>3600</v>
      </c>
      <c r="AK61" s="299">
        <v>773</v>
      </c>
      <c r="AL61" s="299">
        <f>19.79+1.03</f>
        <v>20.82</v>
      </c>
      <c r="AM61" s="314"/>
      <c r="AN61" s="299">
        <f t="shared" si="75"/>
        <v>0</v>
      </c>
      <c r="AO61" s="311">
        <f>19.79+1.03</f>
        <v>20.82</v>
      </c>
      <c r="AP61" s="324"/>
      <c r="AQ61" s="299">
        <f t="shared" si="76"/>
        <v>0</v>
      </c>
      <c r="AR61" s="225">
        <f>19.79+1.03</f>
        <v>20.82</v>
      </c>
    </row>
    <row r="62" spans="1:44" ht="15" customHeight="1" x14ac:dyDescent="0.2">
      <c r="A62" s="66">
        <v>50</v>
      </c>
      <c r="B62" s="92" t="s">
        <v>98</v>
      </c>
      <c r="C62" s="189">
        <f t="shared" si="67"/>
        <v>0</v>
      </c>
      <c r="D62" s="189">
        <f>[4]ЦЕНТР!$C$128</f>
        <v>0</v>
      </c>
      <c r="E62" s="190"/>
      <c r="F62" s="189">
        <f t="shared" si="68"/>
        <v>0</v>
      </c>
      <c r="G62" s="189">
        <f>[4]ЦЕНТР!$O$128</f>
        <v>0</v>
      </c>
      <c r="H62" s="191"/>
      <c r="I62" s="189">
        <f t="shared" si="69"/>
        <v>0</v>
      </c>
      <c r="J62" s="189">
        <f>[4]ЦЕНТР!$W$128</f>
        <v>0</v>
      </c>
      <c r="K62" s="191"/>
      <c r="L62" s="189">
        <f t="shared" si="70"/>
        <v>4015</v>
      </c>
      <c r="M62" s="189">
        <f>[4]ЦЕНТР!$S$128</f>
        <v>4374.4400000000005</v>
      </c>
      <c r="N62" s="191">
        <f t="shared" ref="N62:N69" si="79">ROUND(M62/L62*100,1)</f>
        <v>109</v>
      </c>
      <c r="O62" s="189">
        <f t="shared" si="71"/>
        <v>1672.9166666666667</v>
      </c>
      <c r="P62" s="189">
        <f>[4]ЦЕНТР!$AA$128</f>
        <v>349</v>
      </c>
      <c r="Q62" s="191"/>
      <c r="R62" s="189">
        <f t="shared" si="72"/>
        <v>0</v>
      </c>
      <c r="S62" s="189">
        <f>[4]ЦЕНТР!$G$128</f>
        <v>0</v>
      </c>
      <c r="T62" s="191"/>
      <c r="U62" s="189">
        <f t="shared" si="73"/>
        <v>0</v>
      </c>
      <c r="V62" s="189">
        <f>[4]Гал!$K$128</f>
        <v>0</v>
      </c>
      <c r="W62" s="191"/>
      <c r="X62" s="130"/>
      <c r="Y62" s="299">
        <f t="shared" si="77"/>
        <v>0</v>
      </c>
      <c r="Z62" s="308"/>
      <c r="AA62" s="309"/>
      <c r="AB62" s="299">
        <f t="shared" si="78"/>
        <v>0</v>
      </c>
      <c r="AC62" s="299"/>
      <c r="AD62" s="310"/>
      <c r="AE62" s="299">
        <f t="shared" si="74"/>
        <v>0</v>
      </c>
      <c r="AF62" s="311">
        <v>42.7</v>
      </c>
      <c r="AG62" s="312">
        <v>5423</v>
      </c>
      <c r="AH62" s="299">
        <v>4380</v>
      </c>
      <c r="AI62" s="310">
        <v>42.7</v>
      </c>
      <c r="AJ62" s="313">
        <v>1808</v>
      </c>
      <c r="AK62" s="299">
        <v>1825</v>
      </c>
      <c r="AL62" s="299">
        <v>42.7</v>
      </c>
      <c r="AM62" s="314"/>
      <c r="AN62" s="299">
        <f t="shared" si="75"/>
        <v>0</v>
      </c>
      <c r="AO62" s="311">
        <v>42.7</v>
      </c>
      <c r="AP62" s="324"/>
      <c r="AQ62" s="299">
        <f t="shared" si="76"/>
        <v>0</v>
      </c>
      <c r="AR62" s="225">
        <v>42.7</v>
      </c>
    </row>
    <row r="63" spans="1:44" ht="15" customHeight="1" x14ac:dyDescent="0.2">
      <c r="A63" s="66">
        <v>51</v>
      </c>
      <c r="B63" s="92" t="s">
        <v>99</v>
      </c>
      <c r="C63" s="189">
        <f t="shared" si="67"/>
        <v>0</v>
      </c>
      <c r="D63" s="189">
        <f>[2]ОПТИМА!$C$128</f>
        <v>0</v>
      </c>
      <c r="E63" s="190"/>
      <c r="F63" s="189">
        <f t="shared" si="68"/>
        <v>0</v>
      </c>
      <c r="G63" s="189">
        <f>[2]ОПТИМА!$O$128</f>
        <v>0</v>
      </c>
      <c r="H63" s="191"/>
      <c r="I63" s="189">
        <f t="shared" si="69"/>
        <v>0</v>
      </c>
      <c r="J63" s="189">
        <f>[2]ОПТИМА!$W$128</f>
        <v>0</v>
      </c>
      <c r="K63" s="191"/>
      <c r="L63" s="189">
        <f t="shared" si="70"/>
        <v>1255.8333333333335</v>
      </c>
      <c r="M63" s="189">
        <f>[2]ОПТИМА!$S$128</f>
        <v>1336.01</v>
      </c>
      <c r="N63" s="191">
        <f t="shared" si="79"/>
        <v>106.4</v>
      </c>
      <c r="O63" s="189">
        <f t="shared" si="71"/>
        <v>176.91666666666666</v>
      </c>
      <c r="P63" s="189">
        <f>[2]ОПТИМА!$AA$128</f>
        <v>53</v>
      </c>
      <c r="Q63" s="191"/>
      <c r="R63" s="189">
        <f t="shared" si="72"/>
        <v>0</v>
      </c>
      <c r="S63" s="189">
        <f>[2]ОПТИМА!$G$128</f>
        <v>0</v>
      </c>
      <c r="T63" s="191"/>
      <c r="U63" s="189">
        <f t="shared" si="73"/>
        <v>0</v>
      </c>
      <c r="V63" s="189">
        <f>[4]Гал!$K$128</f>
        <v>0</v>
      </c>
      <c r="W63" s="191"/>
      <c r="X63" s="130"/>
      <c r="Y63" s="299">
        <f t="shared" si="77"/>
        <v>0</v>
      </c>
      <c r="Z63" s="308"/>
      <c r="AA63" s="309"/>
      <c r="AB63" s="299">
        <f t="shared" si="78"/>
        <v>0</v>
      </c>
      <c r="AC63" s="299"/>
      <c r="AD63" s="310"/>
      <c r="AE63" s="299">
        <f t="shared" si="74"/>
        <v>0</v>
      </c>
      <c r="AF63" s="311">
        <v>5.6</v>
      </c>
      <c r="AG63" s="312">
        <v>10500</v>
      </c>
      <c r="AH63" s="299">
        <v>1370</v>
      </c>
      <c r="AI63" s="310">
        <v>5.6</v>
      </c>
      <c r="AJ63" s="313">
        <v>3500</v>
      </c>
      <c r="AK63" s="299">
        <v>193</v>
      </c>
      <c r="AL63" s="299">
        <v>5.6</v>
      </c>
      <c r="AM63" s="314"/>
      <c r="AN63" s="299">
        <f t="shared" si="75"/>
        <v>0</v>
      </c>
      <c r="AO63" s="311">
        <v>5.6</v>
      </c>
      <c r="AP63" s="324"/>
      <c r="AQ63" s="299">
        <f t="shared" si="76"/>
        <v>0</v>
      </c>
      <c r="AR63" s="225">
        <v>5.6</v>
      </c>
    </row>
    <row r="64" spans="1:44" ht="15" customHeight="1" x14ac:dyDescent="0.2">
      <c r="A64" s="66">
        <v>52</v>
      </c>
      <c r="B64" s="92" t="s">
        <v>103</v>
      </c>
      <c r="C64" s="189">
        <f t="shared" si="67"/>
        <v>0</v>
      </c>
      <c r="D64" s="189">
        <f>[2]зуб!$C$128</f>
        <v>0</v>
      </c>
      <c r="E64" s="190"/>
      <c r="F64" s="189">
        <f t="shared" si="68"/>
        <v>0</v>
      </c>
      <c r="G64" s="189">
        <f>[2]зуб!$O$128</f>
        <v>0</v>
      </c>
      <c r="H64" s="191"/>
      <c r="I64" s="189">
        <f t="shared" si="69"/>
        <v>0</v>
      </c>
      <c r="J64" s="189">
        <f>[2]зуб!$W$128</f>
        <v>0</v>
      </c>
      <c r="K64" s="191"/>
      <c r="L64" s="189">
        <f t="shared" si="70"/>
        <v>10799.25</v>
      </c>
      <c r="M64" s="189">
        <f>[2]зуб!$S$128</f>
        <v>12538.82</v>
      </c>
      <c r="N64" s="191">
        <f t="shared" si="79"/>
        <v>116.1</v>
      </c>
      <c r="O64" s="189">
        <f t="shared" si="71"/>
        <v>1768.25</v>
      </c>
      <c r="P64" s="189">
        <f>[2]зуб!$AA$128</f>
        <v>883</v>
      </c>
      <c r="Q64" s="191"/>
      <c r="R64" s="189">
        <f t="shared" si="72"/>
        <v>0</v>
      </c>
      <c r="S64" s="189">
        <f>[2]зуб!$G$128</f>
        <v>0</v>
      </c>
      <c r="T64" s="191"/>
      <c r="U64" s="189">
        <f t="shared" si="73"/>
        <v>0</v>
      </c>
      <c r="V64" s="189">
        <f>[4]Гал!$K$128</f>
        <v>0</v>
      </c>
      <c r="W64" s="191"/>
      <c r="X64" s="130"/>
      <c r="Y64" s="299">
        <f t="shared" si="77"/>
        <v>0</v>
      </c>
      <c r="Z64" s="308"/>
      <c r="AA64" s="309"/>
      <c r="AB64" s="299">
        <f t="shared" si="78"/>
        <v>0</v>
      </c>
      <c r="AC64" s="299"/>
      <c r="AD64" s="310"/>
      <c r="AE64" s="299">
        <f t="shared" si="74"/>
        <v>0</v>
      </c>
      <c r="AF64" s="311">
        <v>40.020000000000003</v>
      </c>
      <c r="AG64" s="312">
        <v>13933</v>
      </c>
      <c r="AH64" s="299">
        <v>11781</v>
      </c>
      <c r="AI64" s="310">
        <v>40.020000000000003</v>
      </c>
      <c r="AJ64" s="313">
        <v>4640</v>
      </c>
      <c r="AK64" s="299">
        <v>1929</v>
      </c>
      <c r="AL64" s="299">
        <v>40.020000000000003</v>
      </c>
      <c r="AM64" s="314"/>
      <c r="AN64" s="299">
        <f t="shared" si="75"/>
        <v>0</v>
      </c>
      <c r="AO64" s="311">
        <v>40.020000000000003</v>
      </c>
      <c r="AP64" s="324"/>
      <c r="AQ64" s="299">
        <f t="shared" si="76"/>
        <v>0</v>
      </c>
      <c r="AR64" s="225">
        <v>40.020000000000003</v>
      </c>
    </row>
    <row r="65" spans="1:44" ht="15" customHeight="1" x14ac:dyDescent="0.2">
      <c r="A65" s="66">
        <v>53</v>
      </c>
      <c r="B65" s="92" t="s">
        <v>268</v>
      </c>
      <c r="C65" s="189">
        <f t="shared" si="67"/>
        <v>0</v>
      </c>
      <c r="D65" s="189">
        <f>[2]ПРОЗР!$C$128</f>
        <v>0</v>
      </c>
      <c r="E65" s="190"/>
      <c r="F65" s="189">
        <f t="shared" si="68"/>
        <v>0</v>
      </c>
      <c r="G65" s="189">
        <f>[2]ПРОЗР!$O$128</f>
        <v>0</v>
      </c>
      <c r="H65" s="191"/>
      <c r="I65" s="189">
        <f t="shared" si="69"/>
        <v>0</v>
      </c>
      <c r="J65" s="189">
        <f>[2]ПРОЗР!$W$128</f>
        <v>0</v>
      </c>
      <c r="K65" s="191"/>
      <c r="L65" s="189">
        <f t="shared" si="70"/>
        <v>659.08333333333326</v>
      </c>
      <c r="M65" s="189">
        <f>[2]ПРОЗР!$S$128</f>
        <v>452</v>
      </c>
      <c r="N65" s="191">
        <f t="shared" si="79"/>
        <v>68.599999999999994</v>
      </c>
      <c r="O65" s="189">
        <f t="shared" si="71"/>
        <v>0</v>
      </c>
      <c r="P65" s="189">
        <f>[2]ПРОЗР!$AA$128</f>
        <v>0</v>
      </c>
      <c r="Q65" s="191"/>
      <c r="R65" s="189">
        <f t="shared" si="72"/>
        <v>0</v>
      </c>
      <c r="S65" s="189">
        <f>[2]ПРОЗР!$G$128</f>
        <v>0</v>
      </c>
      <c r="T65" s="191"/>
      <c r="U65" s="189">
        <f t="shared" si="73"/>
        <v>0</v>
      </c>
      <c r="V65" s="189">
        <f>[4]Гал!$K$128</f>
        <v>0</v>
      </c>
      <c r="W65" s="191"/>
      <c r="X65" s="130"/>
      <c r="Y65" s="299">
        <f t="shared" si="77"/>
        <v>0</v>
      </c>
      <c r="Z65" s="308"/>
      <c r="AA65" s="309"/>
      <c r="AB65" s="299">
        <f t="shared" si="78"/>
        <v>0</v>
      </c>
      <c r="AC65" s="299"/>
      <c r="AD65" s="310"/>
      <c r="AE65" s="299">
        <f t="shared" si="74"/>
        <v>0</v>
      </c>
      <c r="AF65" s="311">
        <v>17.25</v>
      </c>
      <c r="AG65" s="312">
        <v>1550</v>
      </c>
      <c r="AH65" s="299">
        <v>719</v>
      </c>
      <c r="AI65" s="310">
        <v>17.25</v>
      </c>
      <c r="AJ65" s="313">
        <v>0</v>
      </c>
      <c r="AK65" s="299">
        <f>ROUND(AJ65*AL65/100,0)</f>
        <v>0</v>
      </c>
      <c r="AL65" s="299">
        <v>17.25</v>
      </c>
      <c r="AM65" s="314"/>
      <c r="AN65" s="299">
        <f t="shared" si="75"/>
        <v>0</v>
      </c>
      <c r="AO65" s="311">
        <v>17.25</v>
      </c>
      <c r="AP65" s="324"/>
      <c r="AQ65" s="299">
        <f t="shared" si="76"/>
        <v>0</v>
      </c>
      <c r="AR65" s="225">
        <v>17.25</v>
      </c>
    </row>
    <row r="66" spans="1:44" ht="15" customHeight="1" x14ac:dyDescent="0.2">
      <c r="A66" s="66">
        <v>54</v>
      </c>
      <c r="B66" s="92" t="s">
        <v>180</v>
      </c>
      <c r="C66" s="189">
        <f t="shared" si="67"/>
        <v>0</v>
      </c>
      <c r="D66" s="189">
        <f>[2]стдв!$C$128</f>
        <v>0</v>
      </c>
      <c r="E66" s="190"/>
      <c r="F66" s="189">
        <f t="shared" si="68"/>
        <v>0</v>
      </c>
      <c r="G66" s="189">
        <f>[2]стдв!$O$128</f>
        <v>0</v>
      </c>
      <c r="H66" s="191"/>
      <c r="I66" s="189">
        <f t="shared" si="69"/>
        <v>0</v>
      </c>
      <c r="J66" s="189">
        <f>[2]стдв!$W$128</f>
        <v>0</v>
      </c>
      <c r="K66" s="191"/>
      <c r="L66" s="189">
        <f t="shared" si="70"/>
        <v>3126.75</v>
      </c>
      <c r="M66" s="189">
        <f>[2]стдв!$S$128</f>
        <v>3155.3</v>
      </c>
      <c r="N66" s="191">
        <f t="shared" si="79"/>
        <v>100.9</v>
      </c>
      <c r="O66" s="189">
        <f t="shared" si="71"/>
        <v>1083.5</v>
      </c>
      <c r="P66" s="189">
        <f>[2]стдв!$AA$128</f>
        <v>269</v>
      </c>
      <c r="Q66" s="191"/>
      <c r="R66" s="189">
        <f t="shared" si="72"/>
        <v>0</v>
      </c>
      <c r="S66" s="189">
        <f>[2]стдв!$G$128</f>
        <v>0</v>
      </c>
      <c r="T66" s="191"/>
      <c r="U66" s="189">
        <f t="shared" si="73"/>
        <v>0</v>
      </c>
      <c r="V66" s="189">
        <f>[4]Гал!$K$128</f>
        <v>0</v>
      </c>
      <c r="W66" s="191"/>
      <c r="X66" s="130"/>
      <c r="Y66" s="299">
        <f t="shared" si="77"/>
        <v>0</v>
      </c>
      <c r="Z66" s="308"/>
      <c r="AA66" s="309"/>
      <c r="AB66" s="299">
        <f t="shared" si="78"/>
        <v>0</v>
      </c>
      <c r="AC66" s="299"/>
      <c r="AD66" s="310"/>
      <c r="AE66" s="299">
        <f t="shared" si="74"/>
        <v>0</v>
      </c>
      <c r="AF66" s="311">
        <v>20.82</v>
      </c>
      <c r="AG66" s="312">
        <v>0</v>
      </c>
      <c r="AH66" s="299">
        <v>3411</v>
      </c>
      <c r="AI66" s="310">
        <v>20.82</v>
      </c>
      <c r="AJ66" s="313">
        <v>1450</v>
      </c>
      <c r="AK66" s="299">
        <v>1182</v>
      </c>
      <c r="AL66" s="299">
        <v>20.82</v>
      </c>
      <c r="AM66" s="314"/>
      <c r="AN66" s="299">
        <f t="shared" si="75"/>
        <v>0</v>
      </c>
      <c r="AO66" s="311">
        <v>20.82</v>
      </c>
      <c r="AP66" s="324"/>
      <c r="AQ66" s="299">
        <f t="shared" si="76"/>
        <v>0</v>
      </c>
      <c r="AR66" s="225">
        <v>20.82</v>
      </c>
    </row>
    <row r="67" spans="1:44" ht="15" customHeight="1" x14ac:dyDescent="0.2">
      <c r="A67" s="66">
        <v>55</v>
      </c>
      <c r="B67" s="92" t="s">
        <v>112</v>
      </c>
      <c r="C67" s="189">
        <f t="shared" si="67"/>
        <v>0</v>
      </c>
      <c r="D67" s="189">
        <f>[2]КРИСТ!$C$128</f>
        <v>0</v>
      </c>
      <c r="E67" s="190"/>
      <c r="F67" s="189">
        <f t="shared" si="68"/>
        <v>0</v>
      </c>
      <c r="G67" s="189">
        <f>[2]КРИСТ!$O$128</f>
        <v>0</v>
      </c>
      <c r="H67" s="191"/>
      <c r="I67" s="189">
        <f t="shared" si="69"/>
        <v>0</v>
      </c>
      <c r="J67" s="189">
        <f>[2]КРИСТ!$W$128</f>
        <v>0</v>
      </c>
      <c r="K67" s="191"/>
      <c r="L67" s="189">
        <f t="shared" si="70"/>
        <v>2214.666666666667</v>
      </c>
      <c r="M67" s="189">
        <f>[2]КРИСТ!$S$128</f>
        <v>2351.58</v>
      </c>
      <c r="N67" s="191">
        <f t="shared" si="79"/>
        <v>106.2</v>
      </c>
      <c r="O67" s="189">
        <f t="shared" si="71"/>
        <v>169.58333333333331</v>
      </c>
      <c r="P67" s="189">
        <f>[2]КРИСТ!$AA$128</f>
        <v>87</v>
      </c>
      <c r="Q67" s="191"/>
      <c r="R67" s="189">
        <f t="shared" si="72"/>
        <v>0</v>
      </c>
      <c r="S67" s="189">
        <f>[2]КРИСТ!$G$128</f>
        <v>0</v>
      </c>
      <c r="T67" s="191"/>
      <c r="U67" s="189">
        <f t="shared" si="73"/>
        <v>0</v>
      </c>
      <c r="V67" s="189">
        <f>[4]Гал!$K$128</f>
        <v>0</v>
      </c>
      <c r="W67" s="191"/>
      <c r="X67" s="130"/>
      <c r="Y67" s="299">
        <f t="shared" si="77"/>
        <v>0</v>
      </c>
      <c r="Z67" s="308"/>
      <c r="AA67" s="309"/>
      <c r="AB67" s="299">
        <f t="shared" si="78"/>
        <v>0</v>
      </c>
      <c r="AC67" s="299"/>
      <c r="AD67" s="310"/>
      <c r="AE67" s="299">
        <f t="shared" si="74"/>
        <v>0</v>
      </c>
      <c r="AF67" s="311">
        <v>6.72</v>
      </c>
      <c r="AG67" s="312">
        <v>23795</v>
      </c>
      <c r="AH67" s="299">
        <v>2416</v>
      </c>
      <c r="AI67" s="310">
        <v>6.72</v>
      </c>
      <c r="AJ67" s="313">
        <v>7089</v>
      </c>
      <c r="AK67" s="299">
        <v>185</v>
      </c>
      <c r="AL67" s="299">
        <v>6.72</v>
      </c>
      <c r="AM67" s="314"/>
      <c r="AN67" s="299">
        <f t="shared" si="75"/>
        <v>0</v>
      </c>
      <c r="AO67" s="311">
        <v>6.72</v>
      </c>
      <c r="AP67" s="324"/>
      <c r="AQ67" s="299">
        <f t="shared" si="76"/>
        <v>0</v>
      </c>
      <c r="AR67" s="225">
        <v>6.72</v>
      </c>
    </row>
    <row r="68" spans="1:44" ht="15" customHeight="1" x14ac:dyDescent="0.2">
      <c r="A68" s="66">
        <v>56</v>
      </c>
      <c r="B68" s="67" t="s">
        <v>134</v>
      </c>
      <c r="C68" s="189">
        <f t="shared" si="67"/>
        <v>0</v>
      </c>
      <c r="D68" s="189">
        <f>[2]чародей!$C$128</f>
        <v>0</v>
      </c>
      <c r="E68" s="190"/>
      <c r="F68" s="189">
        <f t="shared" si="68"/>
        <v>0</v>
      </c>
      <c r="G68" s="189">
        <f>[2]чародей!$O$128</f>
        <v>0</v>
      </c>
      <c r="H68" s="191"/>
      <c r="I68" s="189">
        <f t="shared" si="69"/>
        <v>0</v>
      </c>
      <c r="J68" s="189">
        <f>[2]чародей!$W$128</f>
        <v>0</v>
      </c>
      <c r="K68" s="191"/>
      <c r="L68" s="189">
        <f t="shared" si="70"/>
        <v>1123.8333333333335</v>
      </c>
      <c r="M68" s="189">
        <f>[2]чародей!$S$128</f>
        <v>1213.0099999999998</v>
      </c>
      <c r="N68" s="191">
        <f t="shared" si="79"/>
        <v>107.9</v>
      </c>
      <c r="O68" s="189">
        <f t="shared" si="71"/>
        <v>75.166666666666657</v>
      </c>
      <c r="P68" s="189">
        <f>[2]чародей!$AA$128</f>
        <v>45</v>
      </c>
      <c r="Q68" s="191"/>
      <c r="R68" s="189">
        <f t="shared" si="72"/>
        <v>0</v>
      </c>
      <c r="S68" s="189">
        <f>[2]чародей!$G$128</f>
        <v>0</v>
      </c>
      <c r="T68" s="191"/>
      <c r="U68" s="189">
        <f t="shared" si="73"/>
        <v>0</v>
      </c>
      <c r="V68" s="189">
        <f>[4]Гал!$K$128</f>
        <v>0</v>
      </c>
      <c r="W68" s="191"/>
      <c r="X68" s="130"/>
      <c r="Y68" s="299">
        <f t="shared" si="77"/>
        <v>0</v>
      </c>
      <c r="Z68" s="308"/>
      <c r="AA68" s="309"/>
      <c r="AB68" s="299">
        <f t="shared" si="78"/>
        <v>0</v>
      </c>
      <c r="AC68" s="299"/>
      <c r="AD68" s="310"/>
      <c r="AE68" s="299">
        <f t="shared" si="74"/>
        <v>0</v>
      </c>
      <c r="AF68" s="311">
        <v>7.69</v>
      </c>
      <c r="AG68" s="312">
        <v>10647</v>
      </c>
      <c r="AH68" s="299">
        <v>1226</v>
      </c>
      <c r="AI68" s="310">
        <v>7.69</v>
      </c>
      <c r="AJ68" s="313">
        <v>3172</v>
      </c>
      <c r="AK68" s="299">
        <v>82</v>
      </c>
      <c r="AL68" s="299">
        <v>7.69</v>
      </c>
      <c r="AM68" s="314"/>
      <c r="AN68" s="299">
        <f t="shared" si="75"/>
        <v>0</v>
      </c>
      <c r="AO68" s="311">
        <v>7.69</v>
      </c>
      <c r="AP68" s="324"/>
      <c r="AQ68" s="299">
        <f t="shared" si="76"/>
        <v>0</v>
      </c>
      <c r="AR68" s="225">
        <v>7.69</v>
      </c>
    </row>
    <row r="69" spans="1:44" ht="15" customHeight="1" x14ac:dyDescent="0.2">
      <c r="A69" s="66">
        <v>57</v>
      </c>
      <c r="B69" s="67" t="s">
        <v>135</v>
      </c>
      <c r="C69" s="189">
        <f t="shared" si="67"/>
        <v>0</v>
      </c>
      <c r="D69" s="189">
        <f>[2]эстетика!$C$128</f>
        <v>0</v>
      </c>
      <c r="E69" s="190"/>
      <c r="F69" s="189">
        <f t="shared" si="68"/>
        <v>0</v>
      </c>
      <c r="G69" s="189">
        <f>[2]эстетика!$O$128</f>
        <v>0</v>
      </c>
      <c r="H69" s="191"/>
      <c r="I69" s="189">
        <f t="shared" si="69"/>
        <v>0</v>
      </c>
      <c r="J69" s="189">
        <f>[2]эстетика!$W$128</f>
        <v>0</v>
      </c>
      <c r="K69" s="191"/>
      <c r="L69" s="189">
        <f t="shared" si="70"/>
        <v>629.75</v>
      </c>
      <c r="M69" s="189">
        <f>[2]эстетика!$S$128</f>
        <v>655.99999999999989</v>
      </c>
      <c r="N69" s="191">
        <f t="shared" si="79"/>
        <v>104.2</v>
      </c>
      <c r="O69" s="189">
        <f t="shared" si="71"/>
        <v>0</v>
      </c>
      <c r="P69" s="189">
        <f>[2]эстетика!$AA$128</f>
        <v>0</v>
      </c>
      <c r="Q69" s="191"/>
      <c r="R69" s="189">
        <f t="shared" si="72"/>
        <v>0</v>
      </c>
      <c r="S69" s="189">
        <f>[2]эстетика!$G$128</f>
        <v>0</v>
      </c>
      <c r="T69" s="191"/>
      <c r="U69" s="189">
        <f t="shared" si="73"/>
        <v>0</v>
      </c>
      <c r="V69" s="189">
        <f>[4]Гал!$K$128</f>
        <v>0</v>
      </c>
      <c r="W69" s="191"/>
      <c r="X69" s="130"/>
      <c r="Y69" s="299">
        <f t="shared" si="77"/>
        <v>0</v>
      </c>
      <c r="Z69" s="308"/>
      <c r="AA69" s="309"/>
      <c r="AB69" s="299">
        <f t="shared" si="78"/>
        <v>0</v>
      </c>
      <c r="AC69" s="299"/>
      <c r="AD69" s="310"/>
      <c r="AE69" s="299">
        <f t="shared" si="74"/>
        <v>0</v>
      </c>
      <c r="AF69" s="311">
        <v>9.0500000000000007</v>
      </c>
      <c r="AG69" s="312">
        <v>4130</v>
      </c>
      <c r="AH69" s="299">
        <v>687</v>
      </c>
      <c r="AI69" s="310">
        <v>9.0500000000000007</v>
      </c>
      <c r="AJ69" s="313">
        <v>1231</v>
      </c>
      <c r="AK69" s="299">
        <v>0</v>
      </c>
      <c r="AL69" s="299">
        <v>9.0500000000000007</v>
      </c>
      <c r="AM69" s="314"/>
      <c r="AN69" s="299">
        <f t="shared" si="75"/>
        <v>0</v>
      </c>
      <c r="AO69" s="311">
        <v>9.0500000000000007</v>
      </c>
      <c r="AP69" s="324"/>
      <c r="AQ69" s="299">
        <f t="shared" si="76"/>
        <v>0</v>
      </c>
      <c r="AR69" s="225">
        <v>9.0500000000000007</v>
      </c>
    </row>
    <row r="70" spans="1:44" ht="15" x14ac:dyDescent="0.2">
      <c r="A70" s="66">
        <v>58</v>
      </c>
      <c r="B70" s="67" t="s">
        <v>179</v>
      </c>
      <c r="C70" s="189">
        <f t="shared" si="67"/>
        <v>0</v>
      </c>
      <c r="D70" s="189">
        <f>[3]АЗИМУТ!$C$128</f>
        <v>0</v>
      </c>
      <c r="E70" s="190"/>
      <c r="F70" s="189">
        <f t="shared" si="68"/>
        <v>0</v>
      </c>
      <c r="G70" s="189">
        <f>[3]АЗИМУТ!$O$128</f>
        <v>0</v>
      </c>
      <c r="H70" s="191"/>
      <c r="I70" s="189">
        <f t="shared" si="69"/>
        <v>0</v>
      </c>
      <c r="J70" s="189">
        <f>[3]АЗИМУТ!$W$128</f>
        <v>0</v>
      </c>
      <c r="K70" s="191"/>
      <c r="L70" s="189">
        <f t="shared" si="70"/>
        <v>0</v>
      </c>
      <c r="M70" s="189">
        <f>[3]АЗИМУТ!$S$128</f>
        <v>0</v>
      </c>
      <c r="N70" s="191"/>
      <c r="O70" s="189">
        <f t="shared" si="71"/>
        <v>0</v>
      </c>
      <c r="P70" s="189">
        <f>[3]АЗИМУТ!$AA$128</f>
        <v>0</v>
      </c>
      <c r="Q70" s="191"/>
      <c r="R70" s="189">
        <f t="shared" si="72"/>
        <v>0</v>
      </c>
      <c r="S70" s="189">
        <f>[3]АЗИМУТ!$G$128</f>
        <v>0</v>
      </c>
      <c r="T70" s="191"/>
      <c r="U70" s="189">
        <f t="shared" si="73"/>
        <v>0</v>
      </c>
      <c r="V70" s="189">
        <f>[4]Гал!$K$128</f>
        <v>0</v>
      </c>
      <c r="W70" s="191"/>
      <c r="X70" s="130"/>
      <c r="Y70" s="299">
        <f t="shared" si="77"/>
        <v>0</v>
      </c>
      <c r="Z70" s="308"/>
      <c r="AA70" s="309"/>
      <c r="AB70" s="299">
        <f t="shared" si="78"/>
        <v>0</v>
      </c>
      <c r="AC70" s="299"/>
      <c r="AD70" s="310"/>
      <c r="AE70" s="299">
        <f t="shared" si="74"/>
        <v>0</v>
      </c>
      <c r="AF70" s="311">
        <f>19.79+1.03</f>
        <v>20.82</v>
      </c>
      <c r="AG70" s="312">
        <v>0</v>
      </c>
      <c r="AH70" s="299">
        <f>ROUND(AG70*AI70/100,0)</f>
        <v>0</v>
      </c>
      <c r="AI70" s="310">
        <f>19.79+1.03</f>
        <v>20.82</v>
      </c>
      <c r="AJ70" s="313">
        <v>640</v>
      </c>
      <c r="AK70" s="299">
        <v>0</v>
      </c>
      <c r="AL70" s="299">
        <f>19.79+1.03</f>
        <v>20.82</v>
      </c>
      <c r="AM70" s="314"/>
      <c r="AN70" s="299">
        <f t="shared" si="75"/>
        <v>0</v>
      </c>
      <c r="AO70" s="311">
        <f>19.79+1.03</f>
        <v>20.82</v>
      </c>
      <c r="AP70" s="324"/>
      <c r="AQ70" s="299">
        <f t="shared" si="76"/>
        <v>0</v>
      </c>
      <c r="AR70" s="225">
        <f>19.79+1.03</f>
        <v>20.82</v>
      </c>
    </row>
    <row r="71" spans="1:44" ht="15" x14ac:dyDescent="0.2">
      <c r="A71" s="67">
        <v>59</v>
      </c>
      <c r="B71" s="67" t="s">
        <v>216</v>
      </c>
      <c r="C71" s="189">
        <f t="shared" si="67"/>
        <v>0</v>
      </c>
      <c r="D71" s="189">
        <f>[3]БОБ!$C$128</f>
        <v>0</v>
      </c>
      <c r="E71" s="190"/>
      <c r="F71" s="189">
        <f t="shared" si="68"/>
        <v>3591.5</v>
      </c>
      <c r="G71" s="189">
        <f>[3]БОБ!$O$128</f>
        <v>2784</v>
      </c>
      <c r="H71" s="191">
        <f>ROUND(G71/F71*100,1)</f>
        <v>77.5</v>
      </c>
      <c r="I71" s="189">
        <f t="shared" si="69"/>
        <v>0</v>
      </c>
      <c r="J71" s="189">
        <f>[3]БОБ!$W$128</f>
        <v>0</v>
      </c>
      <c r="K71" s="191"/>
      <c r="L71" s="189">
        <f t="shared" si="70"/>
        <v>7612</v>
      </c>
      <c r="M71" s="189">
        <f>[3]БОБ!$S$128</f>
        <v>7267.5700000000006</v>
      </c>
      <c r="N71" s="191">
        <f>ROUND(M71/L71*100,1)</f>
        <v>95.5</v>
      </c>
      <c r="O71" s="189">
        <f t="shared" si="71"/>
        <v>1932.3333333333333</v>
      </c>
      <c r="P71" s="189">
        <f>[3]БОБ!$AA$128</f>
        <v>1406</v>
      </c>
      <c r="Q71" s="191">
        <f>ROUND(P71/O71*100,1)</f>
        <v>72.8</v>
      </c>
      <c r="R71" s="189">
        <f t="shared" si="72"/>
        <v>0</v>
      </c>
      <c r="S71" s="189">
        <f>[3]БОБ!$G$128</f>
        <v>0</v>
      </c>
      <c r="T71" s="191"/>
      <c r="U71" s="189">
        <f t="shared" si="73"/>
        <v>0</v>
      </c>
      <c r="V71" s="189">
        <f>[4]Гал!$K$128</f>
        <v>0</v>
      </c>
      <c r="W71" s="191"/>
      <c r="X71" s="130"/>
      <c r="Y71" s="299">
        <f t="shared" si="77"/>
        <v>0</v>
      </c>
      <c r="Z71" s="308"/>
      <c r="AA71" s="309">
        <v>5000</v>
      </c>
      <c r="AB71" s="299">
        <v>3918</v>
      </c>
      <c r="AC71" s="299">
        <v>55.35</v>
      </c>
      <c r="AD71" s="310"/>
      <c r="AE71" s="299">
        <f t="shared" si="74"/>
        <v>0</v>
      </c>
      <c r="AF71" s="311">
        <v>58.33</v>
      </c>
      <c r="AG71" s="312">
        <v>8232</v>
      </c>
      <c r="AH71" s="299">
        <v>8304</v>
      </c>
      <c r="AI71" s="310">
        <v>58.33</v>
      </c>
      <c r="AJ71" s="313">
        <v>7200</v>
      </c>
      <c r="AK71" s="299">
        <v>2108</v>
      </c>
      <c r="AL71" s="299">
        <v>58.33</v>
      </c>
      <c r="AM71" s="314"/>
      <c r="AN71" s="299">
        <f t="shared" si="75"/>
        <v>0</v>
      </c>
      <c r="AO71" s="311">
        <v>58.33</v>
      </c>
      <c r="AP71" s="324"/>
      <c r="AQ71" s="299">
        <f t="shared" si="76"/>
        <v>0</v>
      </c>
      <c r="AR71" s="225">
        <v>58.33</v>
      </c>
    </row>
    <row r="72" spans="1:44" ht="15" x14ac:dyDescent="0.2">
      <c r="A72" s="67">
        <v>60</v>
      </c>
      <c r="B72" s="67" t="s">
        <v>217</v>
      </c>
      <c r="C72" s="189">
        <f t="shared" si="67"/>
        <v>0</v>
      </c>
      <c r="D72" s="189">
        <f>[3]УзШ!$C$128</f>
        <v>0</v>
      </c>
      <c r="E72" s="190"/>
      <c r="F72" s="189">
        <f t="shared" si="68"/>
        <v>358.41666666666669</v>
      </c>
      <c r="G72" s="189">
        <f>[3]УзШ!$O$128</f>
        <v>282</v>
      </c>
      <c r="H72" s="191">
        <f>ROUND(G72/F72*100,1)</f>
        <v>78.7</v>
      </c>
      <c r="I72" s="189">
        <f t="shared" si="69"/>
        <v>0</v>
      </c>
      <c r="J72" s="189">
        <f>[3]УзШ!$W$128</f>
        <v>12</v>
      </c>
      <c r="K72" s="191"/>
      <c r="L72" s="189">
        <f t="shared" si="70"/>
        <v>1297.0833333333335</v>
      </c>
      <c r="M72" s="189">
        <f>[3]УзШ!$S$128</f>
        <v>1676.5799999999997</v>
      </c>
      <c r="N72" s="191">
        <f>ROUND(M72/L72*100,1)</f>
        <v>129.30000000000001</v>
      </c>
      <c r="O72" s="189">
        <f t="shared" si="71"/>
        <v>283.25</v>
      </c>
      <c r="P72" s="189">
        <f>[3]УзШ!$AA$128</f>
        <v>243</v>
      </c>
      <c r="Q72" s="191">
        <f>ROUND(P72/O72*100,1)</f>
        <v>85.8</v>
      </c>
      <c r="R72" s="189">
        <f t="shared" si="72"/>
        <v>0</v>
      </c>
      <c r="S72" s="189">
        <f>[3]УзШ!$G$128</f>
        <v>0</v>
      </c>
      <c r="T72" s="191"/>
      <c r="U72" s="189">
        <f t="shared" si="73"/>
        <v>0</v>
      </c>
      <c r="V72" s="189">
        <f>[4]Гал!$K$128</f>
        <v>0</v>
      </c>
      <c r="W72" s="191"/>
      <c r="X72" s="130"/>
      <c r="Y72" s="299">
        <f t="shared" si="77"/>
        <v>0</v>
      </c>
      <c r="Z72" s="308"/>
      <c r="AA72" s="309">
        <v>3000</v>
      </c>
      <c r="AB72" s="299">
        <v>391</v>
      </c>
      <c r="AC72" s="299">
        <v>7.2</v>
      </c>
      <c r="AD72" s="310"/>
      <c r="AE72" s="299">
        <f t="shared" si="74"/>
        <v>0</v>
      </c>
      <c r="AF72" s="311">
        <v>10.26</v>
      </c>
      <c r="AG72" s="312">
        <v>8665</v>
      </c>
      <c r="AH72" s="299">
        <v>1415</v>
      </c>
      <c r="AI72" s="310">
        <v>10.26</v>
      </c>
      <c r="AJ72" s="313">
        <v>5505</v>
      </c>
      <c r="AK72" s="299">
        <v>309</v>
      </c>
      <c r="AL72" s="299">
        <v>10.26</v>
      </c>
      <c r="AM72" s="314"/>
      <c r="AN72" s="299">
        <f t="shared" si="75"/>
        <v>0</v>
      </c>
      <c r="AO72" s="311">
        <v>10.26</v>
      </c>
      <c r="AP72" s="324"/>
      <c r="AQ72" s="299">
        <f t="shared" si="76"/>
        <v>0</v>
      </c>
      <c r="AR72" s="225">
        <v>10.26</v>
      </c>
    </row>
    <row r="73" spans="1:44" ht="15" x14ac:dyDescent="0.2">
      <c r="A73" s="67">
        <v>61</v>
      </c>
      <c r="B73" s="67" t="s">
        <v>215</v>
      </c>
      <c r="C73" s="189">
        <f t="shared" si="67"/>
        <v>1976.3333333333333</v>
      </c>
      <c r="D73" s="189">
        <f>[2]НЭС!$C$128</f>
        <v>1101</v>
      </c>
      <c r="E73" s="190">
        <f>D73/C73*100</f>
        <v>55.709225839095964</v>
      </c>
      <c r="F73" s="189">
        <f t="shared" si="68"/>
        <v>0</v>
      </c>
      <c r="G73" s="189">
        <f>[2]НЭС!$O$128</f>
        <v>0</v>
      </c>
      <c r="H73" s="191"/>
      <c r="I73" s="189">
        <f t="shared" si="69"/>
        <v>0</v>
      </c>
      <c r="J73" s="189">
        <f>[2]НЭС!$W$128</f>
        <v>0</v>
      </c>
      <c r="K73" s="191"/>
      <c r="L73" s="189">
        <f t="shared" si="70"/>
        <v>1559.25</v>
      </c>
      <c r="M73" s="189">
        <f>[2]НЭС!$S$128</f>
        <v>565</v>
      </c>
      <c r="N73" s="191">
        <f>ROUND(M73/L73*100,1)</f>
        <v>36.200000000000003</v>
      </c>
      <c r="O73" s="189">
        <f t="shared" si="71"/>
        <v>0</v>
      </c>
      <c r="P73" s="189">
        <f>[2]НЭС!$AA$128</f>
        <v>2</v>
      </c>
      <c r="Q73" s="191"/>
      <c r="R73" s="189">
        <f t="shared" si="72"/>
        <v>0</v>
      </c>
      <c r="S73" s="189">
        <f>[2]КРИСТ!$G$128</f>
        <v>0</v>
      </c>
      <c r="T73" s="191"/>
      <c r="U73" s="189">
        <f t="shared" si="73"/>
        <v>1821.4166666666667</v>
      </c>
      <c r="V73" s="189">
        <f>[2]НЭС!$K$128</f>
        <v>1559</v>
      </c>
      <c r="W73" s="191">
        <f>V73/U73</f>
        <v>0.85592716292263349</v>
      </c>
      <c r="X73" s="247">
        <v>5000</v>
      </c>
      <c r="Y73" s="299">
        <v>2156</v>
      </c>
      <c r="Z73" s="308">
        <f>21.48</f>
        <v>21.48</v>
      </c>
      <c r="AA73" s="316"/>
      <c r="AB73" s="299"/>
      <c r="AC73" s="299"/>
      <c r="AD73" s="318"/>
      <c r="AE73" s="299">
        <f t="shared" si="74"/>
        <v>0</v>
      </c>
      <c r="AF73" s="311"/>
      <c r="AG73" s="320">
        <v>5000</v>
      </c>
      <c r="AH73" s="299">
        <v>1701</v>
      </c>
      <c r="AI73" s="310">
        <v>20.82</v>
      </c>
      <c r="AJ73" s="313"/>
      <c r="AK73" s="299">
        <f>ROUND(AJ73*AL73/100,0)</f>
        <v>0</v>
      </c>
      <c r="AL73" s="299">
        <v>20.82</v>
      </c>
      <c r="AM73" s="322"/>
      <c r="AN73" s="299">
        <f t="shared" si="75"/>
        <v>0</v>
      </c>
      <c r="AO73" s="311">
        <f>19.79+1.03</f>
        <v>20.82</v>
      </c>
      <c r="AP73" s="328">
        <v>10762</v>
      </c>
      <c r="AQ73" s="299">
        <v>1987</v>
      </c>
      <c r="AR73" s="225">
        <f>19.79+1.03</f>
        <v>20.82</v>
      </c>
    </row>
    <row r="74" spans="1:44" ht="15" x14ac:dyDescent="0.25">
      <c r="A74" s="1"/>
      <c r="B74" s="94" t="s">
        <v>136</v>
      </c>
      <c r="C74" s="194">
        <f>C6+C16+C26+C34+C42+C49+C57</f>
        <v>293710.99999999994</v>
      </c>
      <c r="D74" s="194">
        <f>D6+D16+D26+D34+D42+D49+D57</f>
        <v>279034</v>
      </c>
      <c r="E74" s="187">
        <f>ROUND(D74/C74*100,1)</f>
        <v>95</v>
      </c>
      <c r="F74" s="194">
        <f>F6+F16+F26+F34+F42+F49+F57</f>
        <v>116705.41666666667</v>
      </c>
      <c r="G74" s="194">
        <f>G6+G16+G26+G34+G42+G49+G57</f>
        <v>102122</v>
      </c>
      <c r="H74" s="193">
        <f>ROUND(G74/F74*100,1)</f>
        <v>87.5</v>
      </c>
      <c r="I74" s="194">
        <f>I6+I16+I26+I34+I42+I49+I57</f>
        <v>35021.25</v>
      </c>
      <c r="J74" s="194">
        <f>J6+J16+J26+J34+J42+J49+J57</f>
        <v>25543</v>
      </c>
      <c r="K74" s="193">
        <f>ROUND(J74/I74*100,1)</f>
        <v>72.900000000000006</v>
      </c>
      <c r="L74" s="194">
        <f>L6+L16+L26+L34+L42+L49+L57</f>
        <v>863862.08333333326</v>
      </c>
      <c r="M74" s="194">
        <f>M6+M16+M26+M34+M42+M49+M57</f>
        <v>856344.14</v>
      </c>
      <c r="N74" s="193">
        <f>ROUND(M74/L74*100,1)</f>
        <v>99.1</v>
      </c>
      <c r="O74" s="194">
        <f>O6+O16+O26+O34+O42+O49+O57</f>
        <v>219364.75</v>
      </c>
      <c r="P74" s="194">
        <f>P6+P16+P26+P34+P42+P49+P57</f>
        <v>176035</v>
      </c>
      <c r="Q74" s="193">
        <f>ROUND(P74/O74*100,1)</f>
        <v>80.2</v>
      </c>
      <c r="R74" s="194">
        <f>R6+R16+R26+R34+R42+R49+R57</f>
        <v>31180.416666666664</v>
      </c>
      <c r="S74" s="194">
        <f>S6+S16+S26+S34+S42+S49+S57</f>
        <v>34533</v>
      </c>
      <c r="T74" s="193">
        <f>ROUND(S74/R74*100,1)</f>
        <v>110.8</v>
      </c>
      <c r="U74" s="194">
        <f>U6+U16+U26+U34+U42+U49+U57</f>
        <v>3094.666666666667</v>
      </c>
      <c r="V74" s="194">
        <f>V6+V16+V26+V34+V42+V49+V57</f>
        <v>2719</v>
      </c>
      <c r="W74" s="193">
        <f>ROUND(V74/U74*100,1)</f>
        <v>87.9</v>
      </c>
      <c r="X74" s="194">
        <f t="shared" ref="X74:AR74" si="80">X6+X16+X26+X34+X42+X49+X57</f>
        <v>1265642</v>
      </c>
      <c r="Y74" s="194">
        <f t="shared" si="80"/>
        <v>320412</v>
      </c>
      <c r="Z74" s="194">
        <f t="shared" si="80"/>
        <v>734.97</v>
      </c>
      <c r="AA74" s="194">
        <f t="shared" si="80"/>
        <v>450513</v>
      </c>
      <c r="AB74" s="194">
        <f t="shared" si="80"/>
        <v>127315</v>
      </c>
      <c r="AC74" s="194">
        <f t="shared" si="80"/>
        <v>971.38</v>
      </c>
      <c r="AD74" s="194">
        <f t="shared" si="80"/>
        <v>215735</v>
      </c>
      <c r="AE74" s="194">
        <f t="shared" si="80"/>
        <v>38205</v>
      </c>
      <c r="AF74" s="194">
        <f t="shared" si="80"/>
        <v>1058.5</v>
      </c>
      <c r="AG74" s="194">
        <f t="shared" si="80"/>
        <v>2740017</v>
      </c>
      <c r="AH74" s="194">
        <f t="shared" si="80"/>
        <v>942395</v>
      </c>
      <c r="AI74" s="194">
        <f t="shared" si="80"/>
        <v>1113.6414195663137</v>
      </c>
      <c r="AJ74" s="194">
        <f t="shared" si="80"/>
        <v>1141155</v>
      </c>
      <c r="AK74" s="194">
        <f t="shared" si="80"/>
        <v>239307</v>
      </c>
      <c r="AL74" s="194">
        <f t="shared" si="80"/>
        <v>1153.8120600806383</v>
      </c>
      <c r="AM74" s="194">
        <f t="shared" si="80"/>
        <v>169124</v>
      </c>
      <c r="AN74" s="194">
        <f t="shared" si="80"/>
        <v>34015</v>
      </c>
      <c r="AO74" s="194">
        <f t="shared" si="80"/>
        <v>1108.46</v>
      </c>
      <c r="AP74" s="194">
        <f t="shared" si="80"/>
        <v>19172</v>
      </c>
      <c r="AQ74" s="194">
        <f t="shared" si="80"/>
        <v>3376</v>
      </c>
      <c r="AR74" s="194">
        <f t="shared" si="80"/>
        <v>1025.97</v>
      </c>
    </row>
    <row r="75" spans="1:44" x14ac:dyDescent="0.2">
      <c r="AN75" s="90"/>
    </row>
    <row r="76" spans="1:44" x14ac:dyDescent="0.2">
      <c r="AN76" s="90"/>
    </row>
    <row r="77" spans="1:44" x14ac:dyDescent="0.2">
      <c r="AN77" s="90"/>
    </row>
    <row r="78" spans="1:44" x14ac:dyDescent="0.2">
      <c r="AN78" s="90"/>
    </row>
    <row r="79" spans="1:44" x14ac:dyDescent="0.2">
      <c r="AN79" s="90"/>
    </row>
    <row r="80" spans="1:44" x14ac:dyDescent="0.2">
      <c r="AN80" s="90"/>
    </row>
  </sheetData>
  <mergeCells count="17">
    <mergeCell ref="AD4:AL4"/>
    <mergeCell ref="A1:AQ1"/>
    <mergeCell ref="A2:AQ2"/>
    <mergeCell ref="X3:AP3"/>
    <mergeCell ref="A4:B4"/>
    <mergeCell ref="I3:K3"/>
    <mergeCell ref="F3:H3"/>
    <mergeCell ref="L3:N3"/>
    <mergeCell ref="U3:W3"/>
    <mergeCell ref="A42:B42"/>
    <mergeCell ref="A6:B6"/>
    <mergeCell ref="A16:B16"/>
    <mergeCell ref="R3:T3"/>
    <mergeCell ref="A26:B26"/>
    <mergeCell ref="A34:B34"/>
    <mergeCell ref="C3:E3"/>
    <mergeCell ref="O3:Q3"/>
  </mergeCells>
  <phoneticPr fontId="0" type="noConversion"/>
  <pageMargins left="0.78740157480314965" right="0" top="0" bottom="0" header="0.51181102362204722" footer="0.51181102362204722"/>
  <pageSetup paperSize="9" scale="41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"/>
  <sheetViews>
    <sheetView workbookViewId="0">
      <pane xSplit="2" ySplit="5" topLeftCell="Y42" activePane="bottomRight" state="frozen"/>
      <selection activeCell="AH64" sqref="AH64"/>
      <selection pane="topRight" activeCell="AH64" sqref="AH64"/>
      <selection pane="bottomLeft" activeCell="AH64" sqref="AH64"/>
      <selection pane="bottomRight" activeCell="B46" sqref="B46"/>
    </sheetView>
  </sheetViews>
  <sheetFormatPr defaultRowHeight="12.75" x14ac:dyDescent="0.2"/>
  <cols>
    <col min="1" max="1" width="4.42578125" customWidth="1"/>
    <col min="2" max="2" width="78.5703125" customWidth="1"/>
    <col min="3" max="4" width="12.28515625" customWidth="1"/>
    <col min="5" max="5" width="11.85546875" customWidth="1"/>
    <col min="6" max="7" width="12.28515625" customWidth="1"/>
    <col min="8" max="8" width="10" customWidth="1"/>
    <col min="9" max="9" width="12.28515625" customWidth="1"/>
    <col min="10" max="10" width="14.140625" customWidth="1"/>
    <col min="11" max="11" width="9.28515625" customWidth="1"/>
    <col min="12" max="12" width="14.7109375" customWidth="1"/>
    <col min="13" max="13" width="15.28515625" customWidth="1"/>
    <col min="14" max="14" width="9.42578125" customWidth="1"/>
    <col min="15" max="15" width="12.28515625" customWidth="1"/>
    <col min="16" max="16" width="15.28515625" customWidth="1"/>
    <col min="17" max="17" width="9.5703125" customWidth="1"/>
    <col min="18" max="19" width="11.140625" customWidth="1"/>
    <col min="20" max="20" width="9.42578125" customWidth="1"/>
    <col min="21" max="21" width="10.5703125" customWidth="1"/>
    <col min="22" max="22" width="14.5703125" customWidth="1"/>
    <col min="23" max="23" width="8" customWidth="1"/>
    <col min="24" max="24" width="14.28515625" hidden="1" customWidth="1"/>
    <col min="25" max="25" width="17.28515625" customWidth="1"/>
    <col min="26" max="26" width="19.5703125" hidden="1" customWidth="1"/>
    <col min="27" max="27" width="15" hidden="1" customWidth="1"/>
    <col min="28" max="28" width="18.28515625" customWidth="1"/>
    <col min="29" max="29" width="13.85546875" hidden="1" customWidth="1"/>
    <col min="30" max="30" width="21" hidden="1" customWidth="1"/>
    <col min="31" max="31" width="18" customWidth="1"/>
    <col min="32" max="32" width="10" hidden="1" customWidth="1"/>
    <col min="33" max="33" width="14.28515625" hidden="1" customWidth="1"/>
    <col min="34" max="34" width="21.5703125" customWidth="1"/>
    <col min="35" max="35" width="10" hidden="1" customWidth="1"/>
    <col min="36" max="36" width="15.5703125" hidden="1" customWidth="1"/>
    <col min="37" max="37" width="18.28515625" customWidth="1"/>
    <col min="38" max="38" width="10" hidden="1" customWidth="1"/>
    <col min="39" max="39" width="12.28515625" hidden="1" customWidth="1"/>
    <col min="40" max="40" width="18.28515625" customWidth="1"/>
    <col min="41" max="41" width="9.85546875" hidden="1" customWidth="1"/>
    <col min="42" max="42" width="14.5703125" hidden="1" customWidth="1"/>
    <col min="43" max="43" width="14.7109375" customWidth="1"/>
    <col min="44" max="44" width="9.85546875" hidden="1" customWidth="1"/>
    <col min="45" max="46" width="0" hidden="1" customWidth="1"/>
  </cols>
  <sheetData>
    <row r="1" spans="1:44" ht="15" customHeight="1" x14ac:dyDescent="0.3">
      <c r="A1" s="408" t="s">
        <v>261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</row>
    <row r="2" spans="1:44" ht="15" customHeight="1" thickBot="1" x14ac:dyDescent="0.3">
      <c r="A2" s="382" t="s">
        <v>114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</row>
    <row r="3" spans="1:44" ht="15" customHeight="1" thickBot="1" x14ac:dyDescent="0.35">
      <c r="A3" s="34"/>
      <c r="B3" s="35"/>
      <c r="C3" s="384" t="s">
        <v>0</v>
      </c>
      <c r="D3" s="385"/>
      <c r="E3" s="386"/>
      <c r="F3" s="384" t="s">
        <v>1</v>
      </c>
      <c r="G3" s="385"/>
      <c r="H3" s="385"/>
      <c r="I3" s="379" t="s">
        <v>184</v>
      </c>
      <c r="J3" s="380"/>
      <c r="K3" s="381"/>
      <c r="L3" s="379" t="s">
        <v>101</v>
      </c>
      <c r="M3" s="380"/>
      <c r="N3" s="381"/>
      <c r="O3" s="379" t="s">
        <v>185</v>
      </c>
      <c r="P3" s="380"/>
      <c r="Q3" s="381"/>
      <c r="R3" s="379" t="s">
        <v>172</v>
      </c>
      <c r="S3" s="380"/>
      <c r="T3" s="381"/>
      <c r="U3" s="379" t="s">
        <v>173</v>
      </c>
      <c r="V3" s="380"/>
      <c r="W3" s="380"/>
      <c r="X3" s="409" t="s">
        <v>175</v>
      </c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269"/>
      <c r="AR3" s="6"/>
    </row>
    <row r="4" spans="1:44" ht="15" customHeight="1" x14ac:dyDescent="0.25">
      <c r="A4" s="393" t="s">
        <v>41</v>
      </c>
      <c r="B4" s="394"/>
      <c r="C4" s="36" t="s">
        <v>40</v>
      </c>
      <c r="D4" s="37" t="s">
        <v>42</v>
      </c>
      <c r="E4" s="43" t="s">
        <v>39</v>
      </c>
      <c r="F4" s="37" t="s">
        <v>40</v>
      </c>
      <c r="G4" s="37" t="s">
        <v>42</v>
      </c>
      <c r="H4" s="38" t="s">
        <v>39</v>
      </c>
      <c r="I4" s="218" t="s">
        <v>40</v>
      </c>
      <c r="J4" s="37" t="s">
        <v>42</v>
      </c>
      <c r="K4" s="219" t="s">
        <v>39</v>
      </c>
      <c r="L4" s="218" t="s">
        <v>40</v>
      </c>
      <c r="M4" s="37" t="s">
        <v>42</v>
      </c>
      <c r="N4" s="219" t="s">
        <v>39</v>
      </c>
      <c r="O4" s="218" t="s">
        <v>40</v>
      </c>
      <c r="P4" s="37" t="s">
        <v>42</v>
      </c>
      <c r="Q4" s="219" t="s">
        <v>39</v>
      </c>
      <c r="R4" s="218" t="s">
        <v>40</v>
      </c>
      <c r="S4" s="37" t="s">
        <v>42</v>
      </c>
      <c r="T4" s="219" t="s">
        <v>39</v>
      </c>
      <c r="U4" s="218" t="s">
        <v>40</v>
      </c>
      <c r="V4" s="37" t="s">
        <v>42</v>
      </c>
      <c r="W4" s="46" t="s">
        <v>39</v>
      </c>
      <c r="X4" s="411" t="s">
        <v>20</v>
      </c>
      <c r="Y4" s="412"/>
      <c r="Z4" s="413"/>
      <c r="AA4" s="411" t="s">
        <v>49</v>
      </c>
      <c r="AB4" s="412"/>
      <c r="AC4" s="413"/>
      <c r="AD4" s="415" t="s">
        <v>262</v>
      </c>
      <c r="AE4" s="416"/>
      <c r="AF4" s="416"/>
      <c r="AG4" s="416"/>
      <c r="AH4" s="416"/>
      <c r="AI4" s="416"/>
      <c r="AJ4" s="416"/>
      <c r="AK4" s="416"/>
      <c r="AL4" s="417"/>
      <c r="AM4" s="411" t="s">
        <v>172</v>
      </c>
      <c r="AN4" s="412"/>
      <c r="AO4" s="413"/>
      <c r="AP4" s="411" t="s">
        <v>173</v>
      </c>
      <c r="AQ4" s="414"/>
      <c r="AR4" s="413"/>
    </row>
    <row r="5" spans="1:44" ht="15" customHeight="1" thickBot="1" x14ac:dyDescent="0.3">
      <c r="A5" s="47"/>
      <c r="B5" s="48"/>
      <c r="C5" s="49" t="s">
        <v>50</v>
      </c>
      <c r="D5" s="49" t="s">
        <v>50</v>
      </c>
      <c r="E5" s="53"/>
      <c r="F5" s="49" t="s">
        <v>50</v>
      </c>
      <c r="G5" s="51" t="s">
        <v>50</v>
      </c>
      <c r="H5" s="50"/>
      <c r="I5" s="49" t="s">
        <v>53</v>
      </c>
      <c r="J5" s="51" t="s">
        <v>53</v>
      </c>
      <c r="K5" s="54"/>
      <c r="L5" s="49" t="s">
        <v>53</v>
      </c>
      <c r="M5" s="51" t="s">
        <v>53</v>
      </c>
      <c r="N5" s="54"/>
      <c r="O5" s="49" t="s">
        <v>53</v>
      </c>
      <c r="P5" s="51" t="s">
        <v>53</v>
      </c>
      <c r="Q5" s="54"/>
      <c r="R5" s="49" t="s">
        <v>53</v>
      </c>
      <c r="S5" s="51" t="s">
        <v>53</v>
      </c>
      <c r="T5" s="54"/>
      <c r="U5" s="49" t="s">
        <v>53</v>
      </c>
      <c r="V5" s="51" t="s">
        <v>53</v>
      </c>
      <c r="W5" s="50"/>
      <c r="X5" s="232" t="s">
        <v>50</v>
      </c>
      <c r="Y5" s="232" t="s">
        <v>131</v>
      </c>
      <c r="Z5" s="231" t="s">
        <v>39</v>
      </c>
      <c r="AA5" s="215" t="s">
        <v>50</v>
      </c>
      <c r="AB5" s="232" t="s">
        <v>131</v>
      </c>
      <c r="AC5" s="215" t="s">
        <v>39</v>
      </c>
      <c r="AD5" s="232" t="s">
        <v>195</v>
      </c>
      <c r="AE5" s="232" t="s">
        <v>131</v>
      </c>
      <c r="AF5" s="232" t="s">
        <v>39</v>
      </c>
      <c r="AG5" s="232" t="s">
        <v>259</v>
      </c>
      <c r="AH5" s="232" t="s">
        <v>131</v>
      </c>
      <c r="AI5" s="232" t="s">
        <v>39</v>
      </c>
      <c r="AJ5" s="232" t="s">
        <v>185</v>
      </c>
      <c r="AK5" s="232" t="s">
        <v>131</v>
      </c>
      <c r="AL5" s="232" t="s">
        <v>39</v>
      </c>
      <c r="AM5" s="232" t="s">
        <v>195</v>
      </c>
      <c r="AN5" s="232" t="s">
        <v>131</v>
      </c>
      <c r="AO5" s="232" t="s">
        <v>39</v>
      </c>
      <c r="AP5" s="268" t="s">
        <v>183</v>
      </c>
      <c r="AQ5" s="272" t="s">
        <v>131</v>
      </c>
      <c r="AR5" s="253" t="s">
        <v>39</v>
      </c>
    </row>
    <row r="6" spans="1:44" ht="15" customHeight="1" x14ac:dyDescent="0.25">
      <c r="A6" s="403" t="s">
        <v>124</v>
      </c>
      <c r="B6" s="404"/>
      <c r="C6" s="186">
        <f>SUM(C7:C15)</f>
        <v>165044</v>
      </c>
      <c r="D6" s="186">
        <f>SUM(D7:D15)</f>
        <v>160878</v>
      </c>
      <c r="E6" s="187">
        <f>ROUND(D6/AA6*100,1)</f>
        <v>192.7</v>
      </c>
      <c r="F6" s="186">
        <f>SUM(F7:F15)</f>
        <v>36073.583333333336</v>
      </c>
      <c r="G6" s="186">
        <f>SUM(G7:G15)</f>
        <v>34224</v>
      </c>
      <c r="H6" s="188">
        <f t="shared" ref="H6:H12" si="0">ROUND(G6/F6*100,1)</f>
        <v>94.9</v>
      </c>
      <c r="I6" s="186">
        <f>SUM(I7:I15)</f>
        <v>1335.5833333333335</v>
      </c>
      <c r="J6" s="186">
        <f>SUM(J7:J15)</f>
        <v>651</v>
      </c>
      <c r="K6" s="188">
        <f>ROUND(J6/I6*100,1)</f>
        <v>48.7</v>
      </c>
      <c r="L6" s="186">
        <f>SUM(L7:L15)</f>
        <v>267219.33333333331</v>
      </c>
      <c r="M6" s="186">
        <f>SUM(M7:M15)</f>
        <v>271462.28000000003</v>
      </c>
      <c r="N6" s="188">
        <f t="shared" ref="N6:N12" si="1">ROUND(M6/L6*100,1)</f>
        <v>101.6</v>
      </c>
      <c r="O6" s="186">
        <f>SUM(O7:O15)</f>
        <v>31019.083333333332</v>
      </c>
      <c r="P6" s="186">
        <f>SUM(P7:P15)</f>
        <v>15107</v>
      </c>
      <c r="Q6" s="188">
        <f t="shared" ref="Q6:Q61" si="2">ROUND(P6/O6*100,1)</f>
        <v>48.7</v>
      </c>
      <c r="R6" s="186">
        <f>SUM(R7:R15)</f>
        <v>0</v>
      </c>
      <c r="S6" s="186">
        <f>SUM(S7:S15)</f>
        <v>0</v>
      </c>
      <c r="T6" s="193" t="e">
        <f>S6/R6</f>
        <v>#DIV/0!</v>
      </c>
      <c r="U6" s="186">
        <f>SUM(U7:U15)</f>
        <v>0</v>
      </c>
      <c r="V6" s="186">
        <f>SUM(V7:V15)</f>
        <v>0</v>
      </c>
      <c r="W6" s="188"/>
      <c r="X6" s="186">
        <f t="shared" ref="X6:AE6" si="3">SUM(X7:X15)</f>
        <v>395520</v>
      </c>
      <c r="Y6" s="303">
        <f t="shared" si="3"/>
        <v>180048</v>
      </c>
      <c r="Z6" s="303">
        <f t="shared" si="3"/>
        <v>351.74</v>
      </c>
      <c r="AA6" s="303">
        <f t="shared" si="3"/>
        <v>83495</v>
      </c>
      <c r="AB6" s="303">
        <f t="shared" si="3"/>
        <v>39353</v>
      </c>
      <c r="AC6" s="303">
        <f t="shared" si="3"/>
        <v>274.77</v>
      </c>
      <c r="AD6" s="303">
        <f t="shared" si="3"/>
        <v>9297</v>
      </c>
      <c r="AE6" s="303">
        <f t="shared" si="3"/>
        <v>1457</v>
      </c>
      <c r="AF6" s="303">
        <f>SUM(AF7:AF13,0)</f>
        <v>392.5</v>
      </c>
      <c r="AG6" s="329">
        <f>SUM(AG7:AG15)</f>
        <v>507648</v>
      </c>
      <c r="AH6" s="303">
        <f>SUM(AH7:AH15)</f>
        <v>291512</v>
      </c>
      <c r="AI6" s="303">
        <f>SUM(AI7:AI13,0)</f>
        <v>392.5</v>
      </c>
      <c r="AJ6" s="303">
        <f>SUM(AJ7:AJ15)</f>
        <v>115578</v>
      </c>
      <c r="AK6" s="342">
        <f>SUM(AK7:AK15)</f>
        <v>33839</v>
      </c>
      <c r="AL6" s="303">
        <f>SUM(AL7:AL13,0)</f>
        <v>338.8</v>
      </c>
      <c r="AM6" s="303">
        <f>SUM(AM7:AM15)</f>
        <v>0</v>
      </c>
      <c r="AN6" s="303">
        <f>SUM(AN7:AN15)</f>
        <v>0</v>
      </c>
      <c r="AO6" s="303">
        <f>SUM(AO7:AO13,0)</f>
        <v>392.5</v>
      </c>
      <c r="AP6" s="303">
        <f>SUM(AP7:AP15)</f>
        <v>0</v>
      </c>
      <c r="AQ6" s="330">
        <f>SUM(AQ7:AQ15)</f>
        <v>0</v>
      </c>
      <c r="AR6" s="226"/>
    </row>
    <row r="7" spans="1:44" ht="15" customHeight="1" x14ac:dyDescent="0.2">
      <c r="A7" s="66">
        <v>1</v>
      </c>
      <c r="B7" s="141" t="s">
        <v>224</v>
      </c>
      <c r="C7" s="189">
        <f>Y7/12*11</f>
        <v>70789.583333333343</v>
      </c>
      <c r="D7" s="189">
        <f>[3]ОБЛАСТ!$C$130</f>
        <v>70009</v>
      </c>
      <c r="E7" s="190">
        <f>D7/C7*100</f>
        <v>98.897318932281692</v>
      </c>
      <c r="F7" s="189">
        <f>AB7/12*11</f>
        <v>0</v>
      </c>
      <c r="G7" s="189">
        <f>[3]ОБЛАСТ!$O$130</f>
        <v>0</v>
      </c>
      <c r="H7" s="191"/>
      <c r="I7" s="189">
        <f>AE7/12*11</f>
        <v>0</v>
      </c>
      <c r="J7" s="189">
        <f>[3]ОБЛАСТ!$W$130</f>
        <v>0</v>
      </c>
      <c r="K7" s="191"/>
      <c r="L7" s="189">
        <f>AH7/12*11</f>
        <v>35069.833333333328</v>
      </c>
      <c r="M7" s="189">
        <f>[3]ОБЛАСТ!$S$130</f>
        <v>30415.01</v>
      </c>
      <c r="N7" s="191">
        <f t="shared" si="1"/>
        <v>86.7</v>
      </c>
      <c r="O7" s="189">
        <f>AK7/12*11</f>
        <v>0</v>
      </c>
      <c r="P7" s="189">
        <f>[3]ОБЛАСТ!$AA$130</f>
        <v>0</v>
      </c>
      <c r="Q7" s="191"/>
      <c r="R7" s="189">
        <f>AN7/12*11</f>
        <v>0</v>
      </c>
      <c r="S7" s="189">
        <f>[3]ОБЛАСТ!$G$130</f>
        <v>0</v>
      </c>
      <c r="T7" s="191"/>
      <c r="U7" s="189">
        <f>AQ7/12*11</f>
        <v>0</v>
      </c>
      <c r="V7" s="189">
        <f>[3]ОБЛАСТ!$K$130</f>
        <v>0</v>
      </c>
      <c r="W7" s="191"/>
      <c r="X7" s="222">
        <v>190400</v>
      </c>
      <c r="Y7" s="299">
        <v>77225</v>
      </c>
      <c r="Z7" s="308">
        <v>47.43</v>
      </c>
      <c r="AA7" s="309"/>
      <c r="AB7" s="299">
        <f>VALUE(AA7*AC7/100)</f>
        <v>0</v>
      </c>
      <c r="AC7" s="299"/>
      <c r="AD7" s="310"/>
      <c r="AE7" s="299">
        <f t="shared" ref="AE7:AE15" si="4">VALUE(AD7*AF7/100)</f>
        <v>0</v>
      </c>
      <c r="AF7" s="331">
        <v>53.7</v>
      </c>
      <c r="AG7" s="312">
        <v>80990</v>
      </c>
      <c r="AH7" s="299">
        <v>38258</v>
      </c>
      <c r="AI7" s="299">
        <v>53.7</v>
      </c>
      <c r="AJ7" s="313">
        <v>0</v>
      </c>
      <c r="AK7" s="299"/>
      <c r="AL7" s="331">
        <v>0</v>
      </c>
      <c r="AM7" s="314"/>
      <c r="AN7" s="299"/>
      <c r="AO7" s="331">
        <v>53.7</v>
      </c>
      <c r="AP7" s="299"/>
      <c r="AQ7" s="299">
        <f t="shared" ref="AQ7:AQ12" si="5">VALUE(AP7*AR7/100)</f>
        <v>0</v>
      </c>
      <c r="AR7" s="225">
        <v>53.7</v>
      </c>
    </row>
    <row r="8" spans="1:44" ht="15" customHeight="1" x14ac:dyDescent="0.2">
      <c r="A8" s="66">
        <v>2</v>
      </c>
      <c r="B8" s="141" t="s">
        <v>223</v>
      </c>
      <c r="C8" s="189">
        <f t="shared" ref="C8:C15" si="6">Y8/12*11</f>
        <v>28286.5</v>
      </c>
      <c r="D8" s="189">
        <f>[2]госп!$C$130</f>
        <v>27430</v>
      </c>
      <c r="E8" s="190">
        <f>D8/C8*100</f>
        <v>96.972053806586175</v>
      </c>
      <c r="F8" s="189">
        <f t="shared" ref="F8:F15" si="7">AB8/12*11</f>
        <v>4143.3333333333339</v>
      </c>
      <c r="G8" s="189">
        <f>[2]госп!$O$130</f>
        <v>3679</v>
      </c>
      <c r="H8" s="191">
        <f t="shared" si="0"/>
        <v>88.8</v>
      </c>
      <c r="I8" s="189">
        <f t="shared" ref="I8:I15" si="8">AE8/12*11</f>
        <v>0</v>
      </c>
      <c r="J8" s="189">
        <f>[2]госп!$W$130</f>
        <v>0</v>
      </c>
      <c r="K8" s="191"/>
      <c r="L8" s="189">
        <f t="shared" ref="L8:L15" si="9">AH8/12*11</f>
        <v>25025</v>
      </c>
      <c r="M8" s="189">
        <f>[2]госп!$S$130</f>
        <v>26073.210000000003</v>
      </c>
      <c r="N8" s="191">
        <f t="shared" si="1"/>
        <v>104.2</v>
      </c>
      <c r="O8" s="189">
        <f t="shared" ref="O8:O15" si="10">AK8/12*11</f>
        <v>4454.0833333333339</v>
      </c>
      <c r="P8" s="189">
        <f>[2]госп!$AA$130</f>
        <v>3839</v>
      </c>
      <c r="Q8" s="191">
        <f t="shared" si="2"/>
        <v>86.2</v>
      </c>
      <c r="R8" s="189">
        <f t="shared" ref="R8:R15" si="11">AN8/12*11</f>
        <v>0</v>
      </c>
      <c r="S8" s="189">
        <f>[2]госп!$G$130</f>
        <v>0</v>
      </c>
      <c r="T8" s="191"/>
      <c r="U8" s="189">
        <f t="shared" ref="U8:U15" si="12">AQ8/12*11</f>
        <v>0</v>
      </c>
      <c r="V8" s="189">
        <f>[2]госп!$K$130</f>
        <v>0</v>
      </c>
      <c r="W8" s="191"/>
      <c r="X8" s="222">
        <v>47360</v>
      </c>
      <c r="Y8" s="299">
        <v>30858</v>
      </c>
      <c r="Z8" s="308">
        <v>79.22</v>
      </c>
      <c r="AA8" s="309">
        <v>9390</v>
      </c>
      <c r="AB8" s="299">
        <v>4520</v>
      </c>
      <c r="AC8" s="299">
        <v>47.66</v>
      </c>
      <c r="AD8" s="310"/>
      <c r="AE8" s="299">
        <f t="shared" si="4"/>
        <v>0</v>
      </c>
      <c r="AF8" s="331">
        <v>45.52</v>
      </c>
      <c r="AG8" s="312">
        <v>44003</v>
      </c>
      <c r="AH8" s="299">
        <v>27300</v>
      </c>
      <c r="AI8" s="299">
        <v>45.52</v>
      </c>
      <c r="AJ8" s="313">
        <v>13780</v>
      </c>
      <c r="AK8" s="299">
        <v>4859</v>
      </c>
      <c r="AL8" s="331">
        <v>45.52</v>
      </c>
      <c r="AM8" s="314"/>
      <c r="AN8" s="299"/>
      <c r="AO8" s="331">
        <v>45.52</v>
      </c>
      <c r="AP8" s="299"/>
      <c r="AQ8" s="299">
        <f t="shared" si="5"/>
        <v>0</v>
      </c>
      <c r="AR8" s="225">
        <v>45.52</v>
      </c>
    </row>
    <row r="9" spans="1:44" ht="15" customHeight="1" x14ac:dyDescent="0.2">
      <c r="A9" s="66">
        <v>3</v>
      </c>
      <c r="B9" s="141" t="s">
        <v>222</v>
      </c>
      <c r="C9" s="189">
        <f t="shared" si="6"/>
        <v>16634.75</v>
      </c>
      <c r="D9" s="189">
        <f>[3]КАРД!$C$130</f>
        <v>15795</v>
      </c>
      <c r="E9" s="190">
        <f>D9/C9*100</f>
        <v>94.951832759734884</v>
      </c>
      <c r="F9" s="189">
        <f t="shared" si="7"/>
        <v>8635.9166666666679</v>
      </c>
      <c r="G9" s="189">
        <f>[3]КАРД!$O$130</f>
        <v>7920</v>
      </c>
      <c r="H9" s="191">
        <f t="shared" si="0"/>
        <v>91.7</v>
      </c>
      <c r="I9" s="189">
        <f t="shared" si="8"/>
        <v>0</v>
      </c>
      <c r="J9" s="189">
        <f>[3]КАРД!$W$130</f>
        <v>0</v>
      </c>
      <c r="K9" s="191"/>
      <c r="L9" s="189">
        <f t="shared" si="9"/>
        <v>12172.416666666666</v>
      </c>
      <c r="M9" s="189">
        <f>[3]КАРД!$S$130</f>
        <v>11612</v>
      </c>
      <c r="N9" s="191">
        <f t="shared" si="1"/>
        <v>95.4</v>
      </c>
      <c r="O9" s="189">
        <f t="shared" si="10"/>
        <v>1259.5</v>
      </c>
      <c r="P9" s="189">
        <f>[3]КАРД!$AA$130</f>
        <v>527</v>
      </c>
      <c r="Q9" s="191">
        <f t="shared" si="2"/>
        <v>41.8</v>
      </c>
      <c r="R9" s="189">
        <f t="shared" si="11"/>
        <v>0</v>
      </c>
      <c r="S9" s="189">
        <f>[3]КАРД!$G$130</f>
        <v>0</v>
      </c>
      <c r="T9" s="191"/>
      <c r="U9" s="189">
        <f t="shared" si="12"/>
        <v>0</v>
      </c>
      <c r="V9" s="189">
        <f>[3]КАРД!$K$130</f>
        <v>0</v>
      </c>
      <c r="W9" s="191"/>
      <c r="X9" s="222">
        <v>36800</v>
      </c>
      <c r="Y9" s="299">
        <v>18147</v>
      </c>
      <c r="Z9" s="308">
        <v>54.63</v>
      </c>
      <c r="AA9" s="309">
        <v>18705</v>
      </c>
      <c r="AB9" s="299">
        <v>9421</v>
      </c>
      <c r="AC9" s="299">
        <v>55.81</v>
      </c>
      <c r="AD9" s="310"/>
      <c r="AE9" s="299">
        <f t="shared" si="4"/>
        <v>0</v>
      </c>
      <c r="AF9" s="331">
        <v>48.74</v>
      </c>
      <c r="AG9" s="312">
        <v>15191</v>
      </c>
      <c r="AH9" s="299">
        <v>13279</v>
      </c>
      <c r="AI9" s="299">
        <v>48.74</v>
      </c>
      <c r="AJ9" s="313">
        <v>3550</v>
      </c>
      <c r="AK9" s="299">
        <v>1374</v>
      </c>
      <c r="AL9" s="331">
        <v>48.74</v>
      </c>
      <c r="AM9" s="314"/>
      <c r="AN9" s="299"/>
      <c r="AO9" s="331">
        <v>48.74</v>
      </c>
      <c r="AP9" s="299"/>
      <c r="AQ9" s="299">
        <f t="shared" si="5"/>
        <v>0</v>
      </c>
      <c r="AR9" s="225">
        <v>48.74</v>
      </c>
    </row>
    <row r="10" spans="1:44" ht="15" customHeight="1" x14ac:dyDescent="0.2">
      <c r="A10" s="66">
        <v>4</v>
      </c>
      <c r="B10" s="205" t="s">
        <v>221</v>
      </c>
      <c r="C10" s="189">
        <f t="shared" si="6"/>
        <v>3359.5833333333335</v>
      </c>
      <c r="D10" s="189">
        <f>[3]КОЖВЕН!$C$130</f>
        <v>2924</v>
      </c>
      <c r="E10" s="190">
        <f>D10/C10*100</f>
        <v>87.034602505270982</v>
      </c>
      <c r="F10" s="189">
        <f t="shared" si="7"/>
        <v>3538.3333333333335</v>
      </c>
      <c r="G10" s="189">
        <f>[3]КОЖВЕН!$O$130</f>
        <v>3182</v>
      </c>
      <c r="H10" s="191">
        <f t="shared" si="0"/>
        <v>89.9</v>
      </c>
      <c r="I10" s="189">
        <f t="shared" si="8"/>
        <v>0</v>
      </c>
      <c r="J10" s="189">
        <f>[3]КОЖВЕН!$W$130</f>
        <v>0</v>
      </c>
      <c r="K10" s="191"/>
      <c r="L10" s="189">
        <f t="shared" si="9"/>
        <v>44831.416666666672</v>
      </c>
      <c r="M10" s="189">
        <f>[3]КОЖВЕН!$S$130</f>
        <v>42023</v>
      </c>
      <c r="N10" s="191">
        <f t="shared" si="1"/>
        <v>93.7</v>
      </c>
      <c r="O10" s="189">
        <f t="shared" si="10"/>
        <v>5014.1666666666661</v>
      </c>
      <c r="P10" s="189">
        <f>[3]КОЖВЕН!$AA$130</f>
        <v>4061</v>
      </c>
      <c r="Q10" s="191">
        <f t="shared" si="2"/>
        <v>81</v>
      </c>
      <c r="R10" s="189">
        <f t="shared" si="11"/>
        <v>0</v>
      </c>
      <c r="S10" s="189">
        <f>[3]КОЖВЕН!$G$130</f>
        <v>0</v>
      </c>
      <c r="T10" s="191"/>
      <c r="U10" s="189">
        <f t="shared" si="12"/>
        <v>0</v>
      </c>
      <c r="V10" s="189">
        <f>[3]КОЖВЕН!$K$130</f>
        <v>0</v>
      </c>
      <c r="W10" s="191"/>
      <c r="X10" s="222">
        <v>7360</v>
      </c>
      <c r="Y10" s="299">
        <v>3665</v>
      </c>
      <c r="Z10" s="308">
        <v>54.36</v>
      </c>
      <c r="AA10" s="309">
        <v>8500</v>
      </c>
      <c r="AB10" s="299">
        <v>3860</v>
      </c>
      <c r="AC10" s="299">
        <v>43.89</v>
      </c>
      <c r="AD10" s="310"/>
      <c r="AE10" s="299">
        <f t="shared" si="4"/>
        <v>0</v>
      </c>
      <c r="AF10" s="331">
        <v>74.819999999999993</v>
      </c>
      <c r="AG10" s="312">
        <v>57007</v>
      </c>
      <c r="AH10" s="299">
        <v>48907</v>
      </c>
      <c r="AI10" s="299">
        <v>74.819999999999993</v>
      </c>
      <c r="AJ10" s="313">
        <v>10909</v>
      </c>
      <c r="AK10" s="299">
        <v>5470</v>
      </c>
      <c r="AL10" s="331">
        <v>74.819999999999993</v>
      </c>
      <c r="AM10" s="314"/>
      <c r="AN10" s="299"/>
      <c r="AO10" s="331">
        <v>74.819999999999993</v>
      </c>
      <c r="AP10" s="299"/>
      <c r="AQ10" s="299">
        <f t="shared" si="5"/>
        <v>0</v>
      </c>
      <c r="AR10" s="225">
        <v>74.819999999999993</v>
      </c>
    </row>
    <row r="11" spans="1:44" ht="15" customHeight="1" x14ac:dyDescent="0.2">
      <c r="A11" s="66">
        <v>5</v>
      </c>
      <c r="B11" s="141" t="s">
        <v>220</v>
      </c>
      <c r="C11" s="189">
        <f t="shared" si="6"/>
        <v>15437.583333333334</v>
      </c>
      <c r="D11" s="189">
        <f>[3]ОНКО!$C$130</f>
        <v>14740</v>
      </c>
      <c r="E11" s="190">
        <f>D11/C11*100</f>
        <v>95.481265958078495</v>
      </c>
      <c r="F11" s="189">
        <f t="shared" si="7"/>
        <v>6711.833333333333</v>
      </c>
      <c r="G11" s="189">
        <f>[3]ОНКО!$O$130</f>
        <v>6173</v>
      </c>
      <c r="H11" s="191">
        <f t="shared" si="0"/>
        <v>92</v>
      </c>
      <c r="I11" s="189">
        <f t="shared" si="8"/>
        <v>0</v>
      </c>
      <c r="J11" s="189">
        <f>[3]ОНКО!$W$130</f>
        <v>0</v>
      </c>
      <c r="K11" s="191"/>
      <c r="L11" s="189">
        <f t="shared" si="9"/>
        <v>19426.916666666664</v>
      </c>
      <c r="M11" s="189">
        <f>[3]ОНКО!$S$130</f>
        <v>18146</v>
      </c>
      <c r="N11" s="191">
        <f t="shared" si="1"/>
        <v>93.4</v>
      </c>
      <c r="O11" s="189">
        <f t="shared" si="10"/>
        <v>242</v>
      </c>
      <c r="P11" s="189">
        <f>[3]ОНКО!$AA$130</f>
        <v>57</v>
      </c>
      <c r="Q11" s="191"/>
      <c r="R11" s="189">
        <f t="shared" si="11"/>
        <v>0</v>
      </c>
      <c r="S11" s="189">
        <f>[3]ОНКО!$G$130</f>
        <v>0</v>
      </c>
      <c r="T11" s="191"/>
      <c r="U11" s="189">
        <f t="shared" si="12"/>
        <v>0</v>
      </c>
      <c r="V11" s="189">
        <f>[3]ОНКО!$K$130</f>
        <v>0</v>
      </c>
      <c r="W11" s="191"/>
      <c r="X11" s="222">
        <v>42600</v>
      </c>
      <c r="Y11" s="299">
        <v>16841</v>
      </c>
      <c r="Z11" s="308">
        <v>48.75</v>
      </c>
      <c r="AA11" s="309">
        <v>18700</v>
      </c>
      <c r="AB11" s="299">
        <v>7322</v>
      </c>
      <c r="AC11" s="299">
        <v>50.31</v>
      </c>
      <c r="AD11" s="310"/>
      <c r="AE11" s="299">
        <f t="shared" si="4"/>
        <v>0</v>
      </c>
      <c r="AF11" s="331">
        <v>48.46</v>
      </c>
      <c r="AG11" s="312">
        <v>44000</v>
      </c>
      <c r="AH11" s="299">
        <v>21193</v>
      </c>
      <c r="AI11" s="299">
        <v>48.46</v>
      </c>
      <c r="AJ11" s="313"/>
      <c r="AK11" s="299">
        <v>264</v>
      </c>
      <c r="AL11" s="331">
        <v>48.46</v>
      </c>
      <c r="AM11" s="314"/>
      <c r="AN11" s="299"/>
      <c r="AO11" s="331">
        <v>48.46</v>
      </c>
      <c r="AP11" s="299"/>
      <c r="AQ11" s="299">
        <f t="shared" si="5"/>
        <v>0</v>
      </c>
      <c r="AR11" s="225">
        <v>48.46</v>
      </c>
    </row>
    <row r="12" spans="1:44" ht="15" customHeight="1" x14ac:dyDescent="0.2">
      <c r="A12" s="66">
        <v>6</v>
      </c>
      <c r="B12" s="141" t="s">
        <v>201</v>
      </c>
      <c r="C12" s="189">
        <f t="shared" si="6"/>
        <v>0</v>
      </c>
      <c r="D12" s="189">
        <f>[2]цвд!$C$130</f>
        <v>0</v>
      </c>
      <c r="E12" s="190"/>
      <c r="F12" s="189">
        <f t="shared" si="7"/>
        <v>13044.166666666666</v>
      </c>
      <c r="G12" s="189">
        <f>[2]цвд!$O$130</f>
        <v>13270</v>
      </c>
      <c r="H12" s="191">
        <f t="shared" si="0"/>
        <v>101.7</v>
      </c>
      <c r="I12" s="189">
        <f t="shared" si="8"/>
        <v>0</v>
      </c>
      <c r="J12" s="189">
        <f>[2]цвд!$W$130</f>
        <v>0</v>
      </c>
      <c r="K12" s="191"/>
      <c r="L12" s="189">
        <f t="shared" si="9"/>
        <v>2605.166666666667</v>
      </c>
      <c r="M12" s="189">
        <f>[2]цвд!$S$130</f>
        <v>1908</v>
      </c>
      <c r="N12" s="191">
        <f t="shared" si="1"/>
        <v>73.2</v>
      </c>
      <c r="O12" s="189">
        <f t="shared" si="10"/>
        <v>0</v>
      </c>
      <c r="P12" s="189">
        <f>[2]цвд!$AA$130</f>
        <v>0</v>
      </c>
      <c r="Q12" s="191"/>
      <c r="R12" s="189">
        <f t="shared" si="11"/>
        <v>0</v>
      </c>
      <c r="S12" s="189">
        <f>[2]цвд!$G$130</f>
        <v>0</v>
      </c>
      <c r="T12" s="191"/>
      <c r="U12" s="189">
        <f t="shared" si="12"/>
        <v>0</v>
      </c>
      <c r="V12" s="189">
        <f>[2]цвд!$K$130</f>
        <v>0</v>
      </c>
      <c r="W12" s="191"/>
      <c r="X12" s="222"/>
      <c r="Y12" s="299">
        <f>VALUE(X12*Z12/100)</f>
        <v>0</v>
      </c>
      <c r="Z12" s="308"/>
      <c r="AA12" s="309">
        <v>28200</v>
      </c>
      <c r="AB12" s="299">
        <v>14230</v>
      </c>
      <c r="AC12" s="299">
        <v>77.099999999999994</v>
      </c>
      <c r="AD12" s="310"/>
      <c r="AE12" s="299">
        <f t="shared" si="4"/>
        <v>0</v>
      </c>
      <c r="AF12" s="331">
        <v>76.83</v>
      </c>
      <c r="AG12" s="312">
        <v>4000</v>
      </c>
      <c r="AH12" s="299">
        <v>2842</v>
      </c>
      <c r="AI12" s="299">
        <v>76.83</v>
      </c>
      <c r="AJ12" s="313"/>
      <c r="AK12" s="299">
        <f>VALUE(AJ12*AL12/100)</f>
        <v>0</v>
      </c>
      <c r="AL12" s="331">
        <v>76.83</v>
      </c>
      <c r="AM12" s="314"/>
      <c r="AN12" s="299"/>
      <c r="AO12" s="331">
        <v>76.83</v>
      </c>
      <c r="AP12" s="299"/>
      <c r="AQ12" s="299">
        <f t="shared" si="5"/>
        <v>0</v>
      </c>
      <c r="AR12" s="225">
        <v>76.83</v>
      </c>
    </row>
    <row r="13" spans="1:44" ht="15" customHeight="1" x14ac:dyDescent="0.2">
      <c r="A13" s="66">
        <v>7</v>
      </c>
      <c r="B13" s="141" t="s">
        <v>219</v>
      </c>
      <c r="C13" s="189">
        <f t="shared" si="6"/>
        <v>0</v>
      </c>
      <c r="D13" s="189">
        <f>[2]обл.ст!$C$130</f>
        <v>0</v>
      </c>
      <c r="E13" s="190"/>
      <c r="F13" s="189">
        <f t="shared" si="7"/>
        <v>0</v>
      </c>
      <c r="G13" s="189">
        <f>[2]обл.ст!$O$130</f>
        <v>0</v>
      </c>
      <c r="H13" s="191"/>
      <c r="I13" s="189">
        <f t="shared" si="8"/>
        <v>0</v>
      </c>
      <c r="J13" s="189">
        <f>[2]обл.ст!$W$130</f>
        <v>0</v>
      </c>
      <c r="K13" s="191"/>
      <c r="L13" s="189">
        <f t="shared" si="9"/>
        <v>80666.666666666657</v>
      </c>
      <c r="M13" s="189">
        <f>[2]обл.ст!$S$130</f>
        <v>99743.060000000012</v>
      </c>
      <c r="N13" s="191">
        <f t="shared" ref="N13:N58" si="13">ROUND(M13/L13*100,1)</f>
        <v>123.6</v>
      </c>
      <c r="O13" s="189">
        <f t="shared" si="10"/>
        <v>11916.666666666666</v>
      </c>
      <c r="P13" s="189">
        <f>[2]обл.ст!$AA$130</f>
        <v>0</v>
      </c>
      <c r="Q13" s="191"/>
      <c r="R13" s="189">
        <f t="shared" si="11"/>
        <v>0</v>
      </c>
      <c r="S13" s="189">
        <f>[2]обл.ст!$G$130</f>
        <v>0</v>
      </c>
      <c r="T13" s="191"/>
      <c r="U13" s="189">
        <f t="shared" si="12"/>
        <v>0</v>
      </c>
      <c r="V13" s="189">
        <f>[2]обл.ст!$K$130</f>
        <v>0</v>
      </c>
      <c r="W13" s="191"/>
      <c r="X13" s="222"/>
      <c r="Y13" s="299">
        <f>VALUE(X13*Z13/100)</f>
        <v>0</v>
      </c>
      <c r="Z13" s="308"/>
      <c r="AA13" s="309"/>
      <c r="AB13" s="299"/>
      <c r="AC13" s="299"/>
      <c r="AD13" s="310"/>
      <c r="AE13" s="299">
        <f t="shared" si="4"/>
        <v>0</v>
      </c>
      <c r="AF13" s="331">
        <v>44.43</v>
      </c>
      <c r="AG13" s="312">
        <v>203077</v>
      </c>
      <c r="AH13" s="299">
        <v>88000</v>
      </c>
      <c r="AI13" s="299">
        <v>44.43</v>
      </c>
      <c r="AJ13" s="313">
        <v>60750</v>
      </c>
      <c r="AK13" s="299">
        <v>13000</v>
      </c>
      <c r="AL13" s="331">
        <v>44.43</v>
      </c>
      <c r="AM13" s="314"/>
      <c r="AN13" s="299"/>
      <c r="AO13" s="331">
        <v>44.43</v>
      </c>
      <c r="AP13" s="299"/>
      <c r="AQ13" s="299"/>
      <c r="AR13" s="225">
        <v>44.43</v>
      </c>
    </row>
    <row r="14" spans="1:44" ht="15" customHeight="1" x14ac:dyDescent="0.2">
      <c r="A14" s="274">
        <v>8</v>
      </c>
      <c r="B14" s="67" t="s">
        <v>211</v>
      </c>
      <c r="C14" s="189">
        <f t="shared" si="6"/>
        <v>30536</v>
      </c>
      <c r="D14" s="189">
        <f>[4]детск!$C$130</f>
        <v>29980</v>
      </c>
      <c r="E14" s="190">
        <f>D14/C14*100</f>
        <v>98.179198323290535</v>
      </c>
      <c r="F14" s="189">
        <f t="shared" si="7"/>
        <v>0</v>
      </c>
      <c r="G14" s="189">
        <f>[4]детск!$O$130</f>
        <v>0</v>
      </c>
      <c r="H14" s="191"/>
      <c r="I14" s="189">
        <f t="shared" si="8"/>
        <v>1335.5833333333335</v>
      </c>
      <c r="J14" s="189">
        <f>[4]детск!$W$130</f>
        <v>651</v>
      </c>
      <c r="K14" s="191">
        <f>ROUND(J14/I14*100,1)</f>
        <v>48.7</v>
      </c>
      <c r="L14" s="189">
        <f t="shared" si="9"/>
        <v>46404.416666666664</v>
      </c>
      <c r="M14" s="189">
        <f>[4]детск!$S$130</f>
        <v>40535</v>
      </c>
      <c r="N14" s="191">
        <f>ROUND(M14/L14*100,1)</f>
        <v>87.4</v>
      </c>
      <c r="O14" s="189">
        <f t="shared" si="10"/>
        <v>8132.666666666667</v>
      </c>
      <c r="P14" s="189">
        <f>[4]детск!$AA$130</f>
        <v>6623</v>
      </c>
      <c r="Q14" s="191">
        <f>ROUND(P14/O14*100,1)</f>
        <v>81.400000000000006</v>
      </c>
      <c r="R14" s="189">
        <f t="shared" si="11"/>
        <v>0</v>
      </c>
      <c r="S14" s="189">
        <f>[4]детск!$G$130</f>
        <v>0</v>
      </c>
      <c r="T14" s="191"/>
      <c r="U14" s="189">
        <f t="shared" si="12"/>
        <v>0</v>
      </c>
      <c r="V14" s="189"/>
      <c r="W14" s="191"/>
      <c r="X14" s="248">
        <v>71000</v>
      </c>
      <c r="Y14" s="299">
        <v>33312</v>
      </c>
      <c r="Z14" s="308">
        <v>67.349999999999994</v>
      </c>
      <c r="AA14" s="316"/>
      <c r="AB14" s="299"/>
      <c r="AC14" s="299"/>
      <c r="AD14" s="310">
        <v>9297</v>
      </c>
      <c r="AE14" s="299">
        <v>1457</v>
      </c>
      <c r="AF14" s="331">
        <v>80.239999999999995</v>
      </c>
      <c r="AG14" s="312">
        <v>57745</v>
      </c>
      <c r="AH14" s="299">
        <v>50623</v>
      </c>
      <c r="AI14" s="299">
        <v>80.239999999999995</v>
      </c>
      <c r="AJ14" s="313">
        <v>26589</v>
      </c>
      <c r="AK14" s="299">
        <v>8872</v>
      </c>
      <c r="AL14" s="331">
        <v>80.239999999999995</v>
      </c>
      <c r="AM14" s="314"/>
      <c r="AN14" s="299"/>
      <c r="AO14" s="331">
        <v>80.239999999999995</v>
      </c>
      <c r="AP14" s="299"/>
      <c r="AQ14" s="299"/>
      <c r="AR14" s="225">
        <v>80.239999999999995</v>
      </c>
    </row>
    <row r="15" spans="1:44" ht="15" customHeight="1" x14ac:dyDescent="0.2">
      <c r="A15" s="274">
        <v>9</v>
      </c>
      <c r="B15" s="67" t="s">
        <v>202</v>
      </c>
      <c r="C15" s="189">
        <f t="shared" si="6"/>
        <v>0</v>
      </c>
      <c r="D15" s="189">
        <f>[3]цпс!$C$130</f>
        <v>0</v>
      </c>
      <c r="E15" s="190"/>
      <c r="F15" s="189">
        <f t="shared" si="7"/>
        <v>0</v>
      </c>
      <c r="G15" s="189">
        <f>[3]цпс!$O$130</f>
        <v>0</v>
      </c>
      <c r="H15" s="191"/>
      <c r="I15" s="189">
        <f t="shared" si="8"/>
        <v>0</v>
      </c>
      <c r="J15" s="189">
        <f>[3]цпс!$W$130</f>
        <v>0</v>
      </c>
      <c r="K15" s="191"/>
      <c r="L15" s="189">
        <f t="shared" si="9"/>
        <v>1017.5</v>
      </c>
      <c r="M15" s="189">
        <f>[3]цпс!$S$130</f>
        <v>1007</v>
      </c>
      <c r="N15" s="191">
        <f>ROUND(M15/L15*100,1)</f>
        <v>99</v>
      </c>
      <c r="O15" s="189">
        <f t="shared" si="10"/>
        <v>0</v>
      </c>
      <c r="P15" s="189">
        <f>[3]цпс!$AA$130</f>
        <v>0</v>
      </c>
      <c r="Q15" s="191"/>
      <c r="R15" s="189">
        <f t="shared" si="11"/>
        <v>0</v>
      </c>
      <c r="S15" s="189">
        <f>[3]цпс!$G$130</f>
        <v>0</v>
      </c>
      <c r="T15" s="191"/>
      <c r="U15" s="189">
        <f t="shared" si="12"/>
        <v>0</v>
      </c>
      <c r="V15" s="189"/>
      <c r="W15" s="191"/>
      <c r="X15" s="248"/>
      <c r="Y15" s="299">
        <f>VALUE(X15*Z15/100)</f>
        <v>0</v>
      </c>
      <c r="Z15" s="308"/>
      <c r="AA15" s="316"/>
      <c r="AB15" s="299"/>
      <c r="AC15" s="299"/>
      <c r="AD15" s="310"/>
      <c r="AE15" s="299">
        <f t="shared" si="4"/>
        <v>0</v>
      </c>
      <c r="AF15" s="331">
        <v>33.01</v>
      </c>
      <c r="AG15" s="312">
        <v>1635</v>
      </c>
      <c r="AH15" s="299">
        <v>1110</v>
      </c>
      <c r="AI15" s="299">
        <v>33.01</v>
      </c>
      <c r="AJ15" s="313">
        <v>0</v>
      </c>
      <c r="AK15" s="299"/>
      <c r="AL15" s="331">
        <v>33.01</v>
      </c>
      <c r="AM15" s="314"/>
      <c r="AN15" s="299"/>
      <c r="AO15" s="331">
        <v>33.01</v>
      </c>
      <c r="AP15" s="299"/>
      <c r="AQ15" s="299"/>
      <c r="AR15" s="225">
        <v>33.01</v>
      </c>
    </row>
    <row r="16" spans="1:44" ht="15" customHeight="1" x14ac:dyDescent="0.25">
      <c r="A16" s="395" t="s">
        <v>271</v>
      </c>
      <c r="B16" s="396"/>
      <c r="C16" s="194">
        <f>SUM(C17:C25)</f>
        <v>33338.25</v>
      </c>
      <c r="D16" s="194">
        <f>SUM(D17:D25)</f>
        <v>30157</v>
      </c>
      <c r="E16" s="187">
        <f>ROUND(D16/AA16*100,1)</f>
        <v>57.7</v>
      </c>
      <c r="F16" s="194">
        <f>SUM(F17:F25)</f>
        <v>12964.416666666666</v>
      </c>
      <c r="G16" s="194">
        <f>SUM(G17:G25)</f>
        <v>10684</v>
      </c>
      <c r="H16" s="188">
        <f>ROUND(G16/F16*100,1)</f>
        <v>82.4</v>
      </c>
      <c r="I16" s="194">
        <f>SUM(I17:I25)</f>
        <v>10060.416666666666</v>
      </c>
      <c r="J16" s="194">
        <f>SUM(J17:J25)</f>
        <v>6057</v>
      </c>
      <c r="K16" s="188">
        <f>ROUND(J16/I16*100,1)</f>
        <v>60.2</v>
      </c>
      <c r="L16" s="194">
        <f>SUM(L17:L25)</f>
        <v>153401.41666666666</v>
      </c>
      <c r="M16" s="194">
        <f>SUM(M17:M25)</f>
        <v>145604.60000000003</v>
      </c>
      <c r="N16" s="188">
        <f>ROUND(M16/L16*100,1)</f>
        <v>94.9</v>
      </c>
      <c r="O16" s="194">
        <f>SUM(O17:O25)</f>
        <v>30608.416666666664</v>
      </c>
      <c r="P16" s="194">
        <f>SUM(P17:P25)</f>
        <v>26350</v>
      </c>
      <c r="Q16" s="188">
        <f t="shared" si="2"/>
        <v>86.1</v>
      </c>
      <c r="R16" s="194">
        <f>SUM(R17:R25)</f>
        <v>10126.416666666668</v>
      </c>
      <c r="S16" s="194">
        <f>SUM(S17:S25)</f>
        <v>9807</v>
      </c>
      <c r="T16" s="188">
        <f>ROUND(S16/R16*100,1)</f>
        <v>96.8</v>
      </c>
      <c r="U16" s="194">
        <f>SUM(U17:U25)</f>
        <v>139.33333333333331</v>
      </c>
      <c r="V16" s="194">
        <f>SUM(V17:V25)</f>
        <v>152</v>
      </c>
      <c r="W16" s="188">
        <f>ROUND(V16/U16*100,1)</f>
        <v>109.1</v>
      </c>
      <c r="X16" s="194">
        <f t="shared" ref="X16:AR16" si="14">SUM(X17:X25)</f>
        <v>115964</v>
      </c>
      <c r="Y16" s="332">
        <f t="shared" si="14"/>
        <v>36369</v>
      </c>
      <c r="Z16" s="332">
        <f t="shared" si="14"/>
        <v>309.26</v>
      </c>
      <c r="AA16" s="332">
        <f t="shared" si="14"/>
        <v>52300</v>
      </c>
      <c r="AB16" s="344">
        <f t="shared" si="14"/>
        <v>14143</v>
      </c>
      <c r="AC16" s="332">
        <f t="shared" si="14"/>
        <v>312.26000000000005</v>
      </c>
      <c r="AD16" s="332">
        <f t="shared" si="14"/>
        <v>21648</v>
      </c>
      <c r="AE16" s="332">
        <f t="shared" si="14"/>
        <v>10975</v>
      </c>
      <c r="AF16" s="332">
        <f t="shared" si="14"/>
        <v>347.51</v>
      </c>
      <c r="AG16" s="332">
        <f t="shared" si="14"/>
        <v>310001</v>
      </c>
      <c r="AH16" s="344">
        <f t="shared" si="14"/>
        <v>167347</v>
      </c>
      <c r="AI16" s="344">
        <f t="shared" si="14"/>
        <v>347.51</v>
      </c>
      <c r="AJ16" s="344">
        <f t="shared" si="14"/>
        <v>192127</v>
      </c>
      <c r="AK16" s="344">
        <f t="shared" si="14"/>
        <v>33391</v>
      </c>
      <c r="AL16" s="332">
        <f t="shared" si="14"/>
        <v>347.51</v>
      </c>
      <c r="AM16" s="332">
        <f t="shared" si="14"/>
        <v>31986</v>
      </c>
      <c r="AN16" s="332">
        <f t="shared" si="14"/>
        <v>11047</v>
      </c>
      <c r="AO16" s="332">
        <f t="shared" si="14"/>
        <v>316.29000000000002</v>
      </c>
      <c r="AP16" s="332">
        <f t="shared" si="14"/>
        <v>479</v>
      </c>
      <c r="AQ16" s="332">
        <f t="shared" si="14"/>
        <v>152</v>
      </c>
      <c r="AR16" s="194">
        <f t="shared" si="14"/>
        <v>347.51</v>
      </c>
    </row>
    <row r="17" spans="1:46" ht="15" customHeight="1" x14ac:dyDescent="0.2">
      <c r="A17" s="140">
        <v>10</v>
      </c>
      <c r="B17" s="63" t="s">
        <v>225</v>
      </c>
      <c r="C17" s="189">
        <f t="shared" ref="C17:C25" si="15">Y17/12*11</f>
        <v>333.66666666666663</v>
      </c>
      <c r="D17" s="189">
        <f>[2]ант!$C$130</f>
        <v>290</v>
      </c>
      <c r="E17" s="190">
        <f t="shared" ref="E17:E56" si="16">D17/C17*100</f>
        <v>86.913086913086929</v>
      </c>
      <c r="F17" s="189">
        <f t="shared" ref="F17:F25" si="17">AB17/12*11</f>
        <v>578.41666666666674</v>
      </c>
      <c r="G17" s="189">
        <f>[2]ант!$O$130</f>
        <v>379</v>
      </c>
      <c r="H17" s="191">
        <f t="shared" ref="H17:H35" si="18">ROUND(G17/F17*100,1)</f>
        <v>65.5</v>
      </c>
      <c r="I17" s="189">
        <f t="shared" ref="I17:I25" si="19">AE17/12*11</f>
        <v>213.58333333333334</v>
      </c>
      <c r="J17" s="189">
        <f>[2]ант!$W$130</f>
        <v>96</v>
      </c>
      <c r="K17" s="191">
        <f t="shared" ref="K17:K57" si="20">ROUND(J17/I17*100,1)</f>
        <v>44.9</v>
      </c>
      <c r="L17" s="189">
        <f t="shared" ref="L17:L25" si="21">AH17/12*11</f>
        <v>3661.1666666666665</v>
      </c>
      <c r="M17" s="189">
        <f>[2]ант!$S$130</f>
        <v>3518.0099999999998</v>
      </c>
      <c r="N17" s="191">
        <f t="shared" si="13"/>
        <v>96.1</v>
      </c>
      <c r="O17" s="189">
        <f t="shared" ref="O17:O25" si="22">AK17/12*11</f>
        <v>1046.8333333333335</v>
      </c>
      <c r="P17" s="189">
        <f>[2]ант!$AA$130</f>
        <v>944</v>
      </c>
      <c r="Q17" s="191">
        <f t="shared" si="2"/>
        <v>90.2</v>
      </c>
      <c r="R17" s="189">
        <f t="shared" ref="R17:R25" si="23">AN17/12*11</f>
        <v>280.5</v>
      </c>
      <c r="S17" s="189">
        <f>[2]ант!$G$130</f>
        <v>246</v>
      </c>
      <c r="T17" s="191">
        <f t="shared" ref="T17:T56" si="24">ROUND(S17/R17*100,1)</f>
        <v>87.7</v>
      </c>
      <c r="U17" s="189">
        <f t="shared" ref="U17:U25" si="25">AQ17/12*11</f>
        <v>0</v>
      </c>
      <c r="V17" s="189">
        <f>[2]ант!$K$130</f>
        <v>0</v>
      </c>
      <c r="W17" s="191"/>
      <c r="X17" s="227">
        <v>3807</v>
      </c>
      <c r="Y17" s="299">
        <v>364</v>
      </c>
      <c r="Z17" s="333">
        <v>16.920000000000002</v>
      </c>
      <c r="AA17" s="309">
        <v>4700</v>
      </c>
      <c r="AB17" s="299">
        <v>631</v>
      </c>
      <c r="AC17" s="299">
        <v>15.38</v>
      </c>
      <c r="AD17" s="310">
        <v>1966</v>
      </c>
      <c r="AE17" s="299">
        <v>233</v>
      </c>
      <c r="AF17" s="331">
        <v>16.91</v>
      </c>
      <c r="AG17" s="312">
        <v>24504</v>
      </c>
      <c r="AH17" s="299">
        <v>3994</v>
      </c>
      <c r="AI17" s="299">
        <v>16.91</v>
      </c>
      <c r="AJ17" s="313">
        <v>13157</v>
      </c>
      <c r="AK17" s="299">
        <v>1142</v>
      </c>
      <c r="AL17" s="331">
        <v>16.91</v>
      </c>
      <c r="AM17" s="314">
        <v>2190</v>
      </c>
      <c r="AN17" s="299">
        <v>306</v>
      </c>
      <c r="AO17" s="311">
        <f>12.6+6.41</f>
        <v>19.009999999999998</v>
      </c>
      <c r="AP17" s="324"/>
      <c r="AQ17" s="299">
        <f t="shared" ref="AQ17:AQ56" si="26">VALUE(AP17*AR17/100)</f>
        <v>0</v>
      </c>
      <c r="AR17" s="225">
        <v>16.91</v>
      </c>
      <c r="AS17">
        <f>AM17/12*7</f>
        <v>1277.5</v>
      </c>
      <c r="AT17">
        <f>S17/AS17*100</f>
        <v>19.256360078277886</v>
      </c>
    </row>
    <row r="18" spans="1:46" ht="15" customHeight="1" x14ac:dyDescent="0.2">
      <c r="A18" s="66">
        <v>11</v>
      </c>
      <c r="B18" s="67" t="s">
        <v>226</v>
      </c>
      <c r="C18" s="189">
        <f t="shared" si="15"/>
        <v>13932.416666666666</v>
      </c>
      <c r="D18" s="189">
        <f>[2]буй!$C$130</f>
        <v>12498</v>
      </c>
      <c r="E18" s="190">
        <f t="shared" si="16"/>
        <v>89.704466202920059</v>
      </c>
      <c r="F18" s="189">
        <f t="shared" si="17"/>
        <v>3641.9166666666665</v>
      </c>
      <c r="G18" s="189">
        <f>[2]буй!$O$130</f>
        <v>3198</v>
      </c>
      <c r="H18" s="191">
        <f t="shared" si="18"/>
        <v>87.8</v>
      </c>
      <c r="I18" s="189">
        <f t="shared" si="19"/>
        <v>2903.0833333333335</v>
      </c>
      <c r="J18" s="256">
        <f>[2]буй!$W$130</f>
        <v>2031</v>
      </c>
      <c r="K18" s="191">
        <f t="shared" si="20"/>
        <v>70</v>
      </c>
      <c r="L18" s="189">
        <f t="shared" si="21"/>
        <v>49701.666666666664</v>
      </c>
      <c r="M18" s="189">
        <f>[2]буй!$S$130</f>
        <v>45946.36</v>
      </c>
      <c r="N18" s="191">
        <f t="shared" si="13"/>
        <v>92.4</v>
      </c>
      <c r="O18" s="189">
        <f t="shared" si="22"/>
        <v>8345.3333333333321</v>
      </c>
      <c r="P18" s="189">
        <f>[2]буй!$AA$130</f>
        <v>7327</v>
      </c>
      <c r="Q18" s="191">
        <f t="shared" si="2"/>
        <v>87.8</v>
      </c>
      <c r="R18" s="189">
        <f t="shared" si="23"/>
        <v>4734.5833333333339</v>
      </c>
      <c r="S18" s="189">
        <f>[2]буй!$G$130</f>
        <v>4755</v>
      </c>
      <c r="T18" s="191">
        <f t="shared" si="24"/>
        <v>100.4</v>
      </c>
      <c r="U18" s="189">
        <f t="shared" si="25"/>
        <v>0</v>
      </c>
      <c r="V18" s="189">
        <f>[2]буй!$K$130</f>
        <v>0</v>
      </c>
      <c r="W18" s="191"/>
      <c r="X18" s="222">
        <v>33660</v>
      </c>
      <c r="Y18" s="299">
        <v>15199</v>
      </c>
      <c r="Z18" s="333">
        <v>47.04</v>
      </c>
      <c r="AA18" s="309">
        <v>10000</v>
      </c>
      <c r="AB18" s="299">
        <v>3973</v>
      </c>
      <c r="AC18" s="299">
        <v>46.38</v>
      </c>
      <c r="AD18" s="310">
        <v>2000</v>
      </c>
      <c r="AE18" s="299">
        <v>3167</v>
      </c>
      <c r="AF18" s="331">
        <v>48.62</v>
      </c>
      <c r="AG18" s="312">
        <v>63986</v>
      </c>
      <c r="AH18" s="299">
        <v>54220</v>
      </c>
      <c r="AI18" s="299">
        <v>48.62</v>
      </c>
      <c r="AJ18" s="313">
        <v>52599</v>
      </c>
      <c r="AK18" s="299">
        <v>9104</v>
      </c>
      <c r="AL18" s="331">
        <v>48.62</v>
      </c>
      <c r="AM18" s="314">
        <v>11400</v>
      </c>
      <c r="AN18" s="299">
        <v>5165</v>
      </c>
      <c r="AO18" s="311">
        <f>43.2+1.21</f>
        <v>44.410000000000004</v>
      </c>
      <c r="AP18" s="324"/>
      <c r="AQ18" s="299">
        <f t="shared" si="26"/>
        <v>0</v>
      </c>
      <c r="AR18" s="225">
        <v>48.62</v>
      </c>
      <c r="AS18">
        <f t="shared" ref="AS18:AS74" si="27">AM18/12*7</f>
        <v>6650</v>
      </c>
      <c r="AT18">
        <f t="shared" ref="AT18:AT74" si="28">S18/AS18*100</f>
        <v>71.503759398496243</v>
      </c>
    </row>
    <row r="19" spans="1:46" ht="15" customHeight="1" x14ac:dyDescent="0.2">
      <c r="A19" s="66">
        <v>12</v>
      </c>
      <c r="B19" s="67" t="s">
        <v>227</v>
      </c>
      <c r="C19" s="189">
        <f t="shared" si="15"/>
        <v>0</v>
      </c>
      <c r="D19" s="189">
        <f>[2]гавр!$C$130</f>
        <v>0</v>
      </c>
      <c r="E19" s="190"/>
      <c r="F19" s="189">
        <f t="shared" si="17"/>
        <v>3118.5</v>
      </c>
      <c r="G19" s="189">
        <f>[2]гавр!$O$130</f>
        <v>2873</v>
      </c>
      <c r="H19" s="191">
        <f t="shared" si="18"/>
        <v>92.1</v>
      </c>
      <c r="I19" s="189">
        <f t="shared" si="19"/>
        <v>590.33333333333326</v>
      </c>
      <c r="J19" s="189">
        <f>[2]гавр!$W$130</f>
        <v>114</v>
      </c>
      <c r="K19" s="191">
        <f t="shared" si="20"/>
        <v>19.3</v>
      </c>
      <c r="L19" s="189">
        <f t="shared" si="21"/>
        <v>17715.5</v>
      </c>
      <c r="M19" s="189">
        <f>[2]гавр!$S$130</f>
        <v>16813.550000000003</v>
      </c>
      <c r="N19" s="191">
        <f t="shared" si="13"/>
        <v>94.9</v>
      </c>
      <c r="O19" s="189">
        <f t="shared" si="22"/>
        <v>3914.1666666666665</v>
      </c>
      <c r="P19" s="189">
        <f>[2]гавр!$AA$130</f>
        <v>3044</v>
      </c>
      <c r="Q19" s="191">
        <f t="shared" si="2"/>
        <v>77.8</v>
      </c>
      <c r="R19" s="189">
        <f t="shared" si="23"/>
        <v>0</v>
      </c>
      <c r="S19" s="189">
        <f>[2]гавр!$G$130</f>
        <v>0</v>
      </c>
      <c r="T19" s="191"/>
      <c r="U19" s="189">
        <f t="shared" si="25"/>
        <v>0</v>
      </c>
      <c r="V19" s="189">
        <f>[2]гавр!$K$130</f>
        <v>0</v>
      </c>
      <c r="W19" s="191"/>
      <c r="X19" s="222"/>
      <c r="Y19" s="299">
        <f>VALUE(X19*Z19/100)</f>
        <v>0</v>
      </c>
      <c r="Z19" s="308"/>
      <c r="AA19" s="309">
        <v>8500</v>
      </c>
      <c r="AB19" s="299">
        <v>3402</v>
      </c>
      <c r="AC19" s="299">
        <v>56.3</v>
      </c>
      <c r="AD19" s="310">
        <v>500</v>
      </c>
      <c r="AE19" s="299">
        <v>644</v>
      </c>
      <c r="AF19" s="331">
        <v>54.47</v>
      </c>
      <c r="AG19" s="312">
        <v>30506</v>
      </c>
      <c r="AH19" s="299">
        <v>19326</v>
      </c>
      <c r="AI19" s="299">
        <v>54.47</v>
      </c>
      <c r="AJ19" s="313">
        <v>13108</v>
      </c>
      <c r="AK19" s="299">
        <v>4270</v>
      </c>
      <c r="AL19" s="331">
        <v>54.47</v>
      </c>
      <c r="AM19" s="314"/>
      <c r="AN19" s="299">
        <f>VALUE(AM19*AO19/100)</f>
        <v>0</v>
      </c>
      <c r="AO19" s="311">
        <v>54.47</v>
      </c>
      <c r="AP19" s="324"/>
      <c r="AQ19" s="299">
        <f t="shared" si="26"/>
        <v>0</v>
      </c>
      <c r="AR19" s="225">
        <v>54.47</v>
      </c>
      <c r="AS19">
        <f t="shared" si="27"/>
        <v>0</v>
      </c>
    </row>
    <row r="20" spans="1:46" ht="15" customHeight="1" x14ac:dyDescent="0.2">
      <c r="A20" s="66">
        <v>13</v>
      </c>
      <c r="B20" s="67" t="s">
        <v>203</v>
      </c>
      <c r="C20" s="189">
        <f t="shared" si="15"/>
        <v>13216.5</v>
      </c>
      <c r="D20" s="189">
        <f>[4]Гал!$C$130</f>
        <v>12345</v>
      </c>
      <c r="E20" s="190">
        <f t="shared" si="16"/>
        <v>93.4059698104642</v>
      </c>
      <c r="F20" s="189">
        <f t="shared" si="17"/>
        <v>995.5</v>
      </c>
      <c r="G20" s="189">
        <f>[4]Гал!$O$130</f>
        <v>812</v>
      </c>
      <c r="H20" s="191">
        <f t="shared" si="18"/>
        <v>81.599999999999994</v>
      </c>
      <c r="I20" s="189">
        <f t="shared" si="19"/>
        <v>2552.916666666667</v>
      </c>
      <c r="J20" s="189">
        <f>[4]Гал!$W$130</f>
        <v>1856</v>
      </c>
      <c r="K20" s="191">
        <f t="shared" si="20"/>
        <v>72.7</v>
      </c>
      <c r="L20" s="189">
        <f t="shared" si="21"/>
        <v>27830</v>
      </c>
      <c r="M20" s="189">
        <f>[4]Гал!$S$130</f>
        <v>26443.940000000002</v>
      </c>
      <c r="N20" s="191">
        <f t="shared" si="13"/>
        <v>95</v>
      </c>
      <c r="O20" s="189">
        <f t="shared" si="22"/>
        <v>5891.416666666667</v>
      </c>
      <c r="P20" s="189">
        <f>[4]Гал!$AA$130</f>
        <v>4901</v>
      </c>
      <c r="Q20" s="191">
        <f t="shared" si="2"/>
        <v>83.2</v>
      </c>
      <c r="R20" s="189">
        <f t="shared" si="23"/>
        <v>1980.9166666666667</v>
      </c>
      <c r="S20" s="261">
        <f>[4]Гал!$G$130</f>
        <v>1888</v>
      </c>
      <c r="T20" s="191">
        <f t="shared" si="24"/>
        <v>95.3</v>
      </c>
      <c r="U20" s="189">
        <f t="shared" si="25"/>
        <v>139.33333333333331</v>
      </c>
      <c r="V20" s="261">
        <f>[4]Гал!$K$130</f>
        <v>152</v>
      </c>
      <c r="W20" s="191">
        <f>ROUND(V20/U20*100,1)</f>
        <v>109.1</v>
      </c>
      <c r="X20" s="222">
        <v>60200</v>
      </c>
      <c r="Y20" s="299">
        <v>14418</v>
      </c>
      <c r="Z20" s="333">
        <v>34.450000000000003</v>
      </c>
      <c r="AA20" s="309">
        <v>8500</v>
      </c>
      <c r="AB20" s="299">
        <v>1086</v>
      </c>
      <c r="AC20" s="299">
        <v>31.87</v>
      </c>
      <c r="AD20" s="310">
        <v>10037</v>
      </c>
      <c r="AE20" s="299">
        <v>2785</v>
      </c>
      <c r="AF20" s="331">
        <v>35.79</v>
      </c>
      <c r="AG20" s="312">
        <v>80117</v>
      </c>
      <c r="AH20" s="299">
        <v>30360</v>
      </c>
      <c r="AI20" s="299">
        <v>35.79</v>
      </c>
      <c r="AJ20" s="313">
        <v>52617</v>
      </c>
      <c r="AK20" s="299">
        <v>6427</v>
      </c>
      <c r="AL20" s="331">
        <v>35.79</v>
      </c>
      <c r="AM20" s="314">
        <v>7624</v>
      </c>
      <c r="AN20" s="299">
        <v>2161</v>
      </c>
      <c r="AO20" s="311">
        <f>29.43-0.03</f>
        <v>29.4</v>
      </c>
      <c r="AP20" s="324">
        <v>479</v>
      </c>
      <c r="AQ20" s="299">
        <v>152</v>
      </c>
      <c r="AR20" s="225">
        <v>35.79</v>
      </c>
      <c r="AS20">
        <f t="shared" si="27"/>
        <v>4447.3333333333339</v>
      </c>
      <c r="AT20">
        <f t="shared" si="28"/>
        <v>42.452405936141503</v>
      </c>
    </row>
    <row r="21" spans="1:46" ht="15" customHeight="1" x14ac:dyDescent="0.2">
      <c r="A21" s="66">
        <v>14</v>
      </c>
      <c r="B21" s="67" t="s">
        <v>204</v>
      </c>
      <c r="C21" s="189">
        <f t="shared" si="15"/>
        <v>75.166666666666657</v>
      </c>
      <c r="D21" s="189">
        <f>[4]орех!$C$130</f>
        <v>82</v>
      </c>
      <c r="E21" s="190">
        <f t="shared" si="16"/>
        <v>109.09090909090911</v>
      </c>
      <c r="F21" s="189">
        <f t="shared" si="17"/>
        <v>349.25</v>
      </c>
      <c r="G21" s="189">
        <f>[4]орех!$O$130</f>
        <v>381</v>
      </c>
      <c r="H21" s="191">
        <f t="shared" si="18"/>
        <v>109.1</v>
      </c>
      <c r="I21" s="189">
        <f t="shared" si="19"/>
        <v>10.083333333333332</v>
      </c>
      <c r="J21" s="189">
        <f>[4]орех!$W$130</f>
        <v>11</v>
      </c>
      <c r="K21" s="191">
        <f t="shared" si="20"/>
        <v>109.1</v>
      </c>
      <c r="L21" s="189">
        <f t="shared" si="21"/>
        <v>755.33333333333337</v>
      </c>
      <c r="M21" s="189">
        <f>[4]орех!$S$130</f>
        <v>824.46</v>
      </c>
      <c r="N21" s="191">
        <f t="shared" si="13"/>
        <v>109.2</v>
      </c>
      <c r="O21" s="189">
        <f t="shared" si="22"/>
        <v>257.58333333333337</v>
      </c>
      <c r="P21" s="189">
        <f>[4]орех!$AA$130</f>
        <v>281</v>
      </c>
      <c r="Q21" s="191">
        <f t="shared" si="2"/>
        <v>109.1</v>
      </c>
      <c r="R21" s="189">
        <f t="shared" si="23"/>
        <v>0</v>
      </c>
      <c r="S21" s="261">
        <f>[4]орех!$G$130</f>
        <v>0</v>
      </c>
      <c r="T21" s="191"/>
      <c r="U21" s="189">
        <f t="shared" si="25"/>
        <v>0</v>
      </c>
      <c r="V21" s="189"/>
      <c r="W21" s="191"/>
      <c r="X21" s="227">
        <v>900</v>
      </c>
      <c r="Y21" s="299">
        <v>82</v>
      </c>
      <c r="Z21" s="308">
        <v>29.15</v>
      </c>
      <c r="AA21" s="309">
        <v>5000</v>
      </c>
      <c r="AB21" s="299">
        <v>381</v>
      </c>
      <c r="AC21" s="299">
        <v>14.04</v>
      </c>
      <c r="AD21" s="310">
        <v>500</v>
      </c>
      <c r="AE21" s="299">
        <v>11</v>
      </c>
      <c r="AF21" s="331">
        <v>21.47</v>
      </c>
      <c r="AG21" s="312">
        <v>4868</v>
      </c>
      <c r="AH21" s="299">
        <v>824</v>
      </c>
      <c r="AI21" s="299">
        <v>21.47</v>
      </c>
      <c r="AJ21" s="313">
        <v>8960</v>
      </c>
      <c r="AK21" s="299">
        <v>281</v>
      </c>
      <c r="AL21" s="331">
        <v>21.47</v>
      </c>
      <c r="AM21" s="314"/>
      <c r="AN21" s="299">
        <f>VALUE(AM21*AO21/100)</f>
        <v>0</v>
      </c>
      <c r="AO21" s="311">
        <v>21.47</v>
      </c>
      <c r="AP21" s="324"/>
      <c r="AQ21" s="299">
        <f t="shared" si="26"/>
        <v>0</v>
      </c>
      <c r="AR21" s="225">
        <v>21.47</v>
      </c>
      <c r="AS21">
        <f t="shared" si="27"/>
        <v>0</v>
      </c>
    </row>
    <row r="22" spans="1:46" ht="15" customHeight="1" x14ac:dyDescent="0.2">
      <c r="A22" s="66">
        <v>15</v>
      </c>
      <c r="B22" s="67" t="s">
        <v>228</v>
      </c>
      <c r="C22" s="189">
        <f t="shared" si="15"/>
        <v>548.16666666666674</v>
      </c>
      <c r="D22" s="189">
        <f>[2]пар!$C$130</f>
        <v>446</v>
      </c>
      <c r="E22" s="190">
        <f t="shared" si="16"/>
        <v>81.362116144724823</v>
      </c>
      <c r="F22" s="189">
        <f t="shared" si="17"/>
        <v>700.33333333333326</v>
      </c>
      <c r="G22" s="189">
        <f>[2]пар!$O$130</f>
        <v>632</v>
      </c>
      <c r="H22" s="191">
        <f t="shared" si="18"/>
        <v>90.2</v>
      </c>
      <c r="I22" s="189">
        <f t="shared" si="19"/>
        <v>680.16666666666674</v>
      </c>
      <c r="J22" s="189">
        <f>[2]пар!$W$130</f>
        <v>422</v>
      </c>
      <c r="K22" s="191">
        <f t="shared" si="20"/>
        <v>62</v>
      </c>
      <c r="L22" s="189">
        <f t="shared" si="21"/>
        <v>3420.0833333333335</v>
      </c>
      <c r="M22" s="189">
        <f>[2]пар!$S$130</f>
        <v>3255.3300000000004</v>
      </c>
      <c r="N22" s="191">
        <f t="shared" si="13"/>
        <v>95.2</v>
      </c>
      <c r="O22" s="189">
        <f t="shared" si="22"/>
        <v>1352.0833333333335</v>
      </c>
      <c r="P22" s="189">
        <f>[2]пар!$AA$130</f>
        <v>1148</v>
      </c>
      <c r="Q22" s="191">
        <f t="shared" si="2"/>
        <v>84.9</v>
      </c>
      <c r="R22" s="189">
        <f t="shared" si="23"/>
        <v>386.83333333333331</v>
      </c>
      <c r="S22" s="189">
        <f>[2]пар!$G$130</f>
        <v>344</v>
      </c>
      <c r="T22" s="191">
        <f t="shared" si="24"/>
        <v>88.9</v>
      </c>
      <c r="U22" s="189">
        <f t="shared" si="25"/>
        <v>0</v>
      </c>
      <c r="V22" s="189"/>
      <c r="W22" s="191"/>
      <c r="X22" s="222">
        <v>3861</v>
      </c>
      <c r="Y22" s="299">
        <v>598</v>
      </c>
      <c r="Z22" s="308">
        <v>29.22</v>
      </c>
      <c r="AA22" s="309">
        <v>4500</v>
      </c>
      <c r="AB22" s="299">
        <v>764</v>
      </c>
      <c r="AC22" s="299">
        <v>20.81</v>
      </c>
      <c r="AD22" s="310">
        <v>1545</v>
      </c>
      <c r="AE22" s="299">
        <v>742</v>
      </c>
      <c r="AF22" s="331">
        <v>21.22</v>
      </c>
      <c r="AG22" s="312">
        <v>19528</v>
      </c>
      <c r="AH22" s="299">
        <v>3731</v>
      </c>
      <c r="AI22" s="299">
        <v>21.22</v>
      </c>
      <c r="AJ22" s="313">
        <v>14080</v>
      </c>
      <c r="AK22" s="299">
        <v>1475</v>
      </c>
      <c r="AL22" s="331">
        <v>21.22</v>
      </c>
      <c r="AM22" s="314">
        <v>1971</v>
      </c>
      <c r="AN22" s="299">
        <v>422</v>
      </c>
      <c r="AO22" s="311">
        <f>20+3.17</f>
        <v>23.17</v>
      </c>
      <c r="AP22" s="324"/>
      <c r="AQ22" s="299">
        <f t="shared" si="26"/>
        <v>0</v>
      </c>
      <c r="AR22" s="225">
        <v>21.22</v>
      </c>
      <c r="AS22">
        <f t="shared" si="27"/>
        <v>1149.75</v>
      </c>
      <c r="AT22">
        <f t="shared" si="28"/>
        <v>29.919547727766904</v>
      </c>
    </row>
    <row r="23" spans="1:46" ht="15" customHeight="1" x14ac:dyDescent="0.2">
      <c r="A23" s="66">
        <v>16</v>
      </c>
      <c r="B23" s="67" t="s">
        <v>229</v>
      </c>
      <c r="C23" s="189">
        <f t="shared" si="15"/>
        <v>1328.25</v>
      </c>
      <c r="D23" s="189">
        <f>[3]СОЛИГ!$C$130</f>
        <v>973</v>
      </c>
      <c r="E23" s="190">
        <f t="shared" si="16"/>
        <v>73.254281949934125</v>
      </c>
      <c r="F23" s="189">
        <f t="shared" si="17"/>
        <v>1393.3333333333335</v>
      </c>
      <c r="G23" s="189">
        <f>[3]СОЛИГ!$O$130</f>
        <v>1159</v>
      </c>
      <c r="H23" s="191">
        <f t="shared" si="18"/>
        <v>83.2</v>
      </c>
      <c r="I23" s="189">
        <f t="shared" si="19"/>
        <v>870.83333333333337</v>
      </c>
      <c r="J23" s="189">
        <f>[3]СОЛИГ!$W$130</f>
        <v>533</v>
      </c>
      <c r="K23" s="191">
        <f t="shared" si="20"/>
        <v>61.2</v>
      </c>
      <c r="L23" s="189">
        <f t="shared" si="21"/>
        <v>12411.666666666666</v>
      </c>
      <c r="M23" s="189">
        <f>[3]СОЛИГ!$S$130</f>
        <v>12492.099999999999</v>
      </c>
      <c r="N23" s="191">
        <f t="shared" si="13"/>
        <v>100.6</v>
      </c>
      <c r="O23" s="189">
        <f t="shared" si="22"/>
        <v>2049.666666666667</v>
      </c>
      <c r="P23" s="189">
        <f>[3]СОЛИГ!$AA$130</f>
        <v>1696</v>
      </c>
      <c r="Q23" s="191">
        <f t="shared" si="2"/>
        <v>82.7</v>
      </c>
      <c r="R23" s="189">
        <f t="shared" si="23"/>
        <v>823.16666666666663</v>
      </c>
      <c r="S23" s="189">
        <f>[3]СОЛИГ!$G$130</f>
        <v>810</v>
      </c>
      <c r="T23" s="191">
        <f t="shared" si="24"/>
        <v>98.4</v>
      </c>
      <c r="U23" s="189">
        <f t="shared" si="25"/>
        <v>0</v>
      </c>
      <c r="V23" s="189"/>
      <c r="W23" s="191"/>
      <c r="X23" s="222">
        <v>3744</v>
      </c>
      <c r="Y23" s="299">
        <v>1449</v>
      </c>
      <c r="Z23" s="308">
        <v>43.16</v>
      </c>
      <c r="AA23" s="309">
        <v>5000</v>
      </c>
      <c r="AB23" s="299">
        <v>1520</v>
      </c>
      <c r="AC23" s="299">
        <v>34.4</v>
      </c>
      <c r="AD23" s="310">
        <v>2100</v>
      </c>
      <c r="AE23" s="299">
        <v>950</v>
      </c>
      <c r="AF23" s="331">
        <v>37.47</v>
      </c>
      <c r="AG23" s="312">
        <v>20592</v>
      </c>
      <c r="AH23" s="299">
        <v>13540</v>
      </c>
      <c r="AI23" s="299">
        <v>37.47</v>
      </c>
      <c r="AJ23" s="313">
        <v>13046</v>
      </c>
      <c r="AK23" s="299">
        <v>2236</v>
      </c>
      <c r="AL23" s="331">
        <v>37.47</v>
      </c>
      <c r="AM23" s="314">
        <v>2994</v>
      </c>
      <c r="AN23" s="299">
        <v>898</v>
      </c>
      <c r="AO23" s="311">
        <f>23.53+10.84</f>
        <v>34.370000000000005</v>
      </c>
      <c r="AP23" s="324"/>
      <c r="AQ23" s="299">
        <f t="shared" si="26"/>
        <v>0</v>
      </c>
      <c r="AR23" s="225">
        <v>37.47</v>
      </c>
      <c r="AS23">
        <f t="shared" si="27"/>
        <v>1746.5</v>
      </c>
      <c r="AT23">
        <f t="shared" si="28"/>
        <v>46.378471228170625</v>
      </c>
    </row>
    <row r="24" spans="1:46" ht="15" customHeight="1" x14ac:dyDescent="0.2">
      <c r="A24" s="66">
        <v>17</v>
      </c>
      <c r="B24" s="67" t="s">
        <v>230</v>
      </c>
      <c r="C24" s="189">
        <f t="shared" si="15"/>
        <v>2745.416666666667</v>
      </c>
      <c r="D24" s="189">
        <f>[4]чухлом!$C$130</f>
        <v>2535</v>
      </c>
      <c r="E24" s="190">
        <f t="shared" si="16"/>
        <v>92.335711033540733</v>
      </c>
      <c r="F24" s="189">
        <f t="shared" si="17"/>
        <v>1386</v>
      </c>
      <c r="G24" s="189">
        <f>[4]чухлом!$O$130</f>
        <v>493</v>
      </c>
      <c r="H24" s="191">
        <f t="shared" si="18"/>
        <v>35.6</v>
      </c>
      <c r="I24" s="189">
        <f t="shared" si="19"/>
        <v>869</v>
      </c>
      <c r="J24" s="189">
        <f>[4]чухлом!$W$130</f>
        <v>462</v>
      </c>
      <c r="K24" s="191">
        <f t="shared" si="20"/>
        <v>53.2</v>
      </c>
      <c r="L24" s="189">
        <f t="shared" si="21"/>
        <v>26902.333333333332</v>
      </c>
      <c r="M24" s="189">
        <f>[4]чухлом!$S$130</f>
        <v>26252.399999999998</v>
      </c>
      <c r="N24" s="191">
        <f t="shared" si="13"/>
        <v>97.6</v>
      </c>
      <c r="O24" s="189">
        <f t="shared" si="22"/>
        <v>3401.75</v>
      </c>
      <c r="P24" s="189">
        <f>[4]чухлом!$AA$130</f>
        <v>3135</v>
      </c>
      <c r="Q24" s="191">
        <f t="shared" si="2"/>
        <v>92.2</v>
      </c>
      <c r="R24" s="189">
        <f t="shared" si="23"/>
        <v>1423.5833333333333</v>
      </c>
      <c r="S24" s="261">
        <f>[4]чухлом!$G$130</f>
        <v>1292</v>
      </c>
      <c r="T24" s="191">
        <f t="shared" si="24"/>
        <v>90.8</v>
      </c>
      <c r="U24" s="189">
        <f t="shared" si="25"/>
        <v>0</v>
      </c>
      <c r="V24" s="189"/>
      <c r="W24" s="191"/>
      <c r="X24" s="222">
        <v>6912</v>
      </c>
      <c r="Y24" s="299">
        <v>2995</v>
      </c>
      <c r="Z24" s="308">
        <v>63.25</v>
      </c>
      <c r="AA24" s="309">
        <v>3500</v>
      </c>
      <c r="AB24" s="299">
        <v>1512</v>
      </c>
      <c r="AC24" s="299">
        <v>58.48</v>
      </c>
      <c r="AD24" s="310">
        <v>1000</v>
      </c>
      <c r="AE24" s="299">
        <v>948</v>
      </c>
      <c r="AF24" s="331">
        <v>63.4</v>
      </c>
      <c r="AG24" s="312">
        <v>47072</v>
      </c>
      <c r="AH24" s="299">
        <v>29348</v>
      </c>
      <c r="AI24" s="299">
        <v>63.4</v>
      </c>
      <c r="AJ24" s="313">
        <v>14232</v>
      </c>
      <c r="AK24" s="299">
        <v>3711</v>
      </c>
      <c r="AL24" s="331">
        <v>63.4</v>
      </c>
      <c r="AM24" s="314">
        <v>3477</v>
      </c>
      <c r="AN24" s="299">
        <v>1553</v>
      </c>
      <c r="AO24" s="311">
        <f>45.45+5.81</f>
        <v>51.260000000000005</v>
      </c>
      <c r="AP24" s="324"/>
      <c r="AQ24" s="299">
        <f t="shared" si="26"/>
        <v>0</v>
      </c>
      <c r="AR24" s="225">
        <v>63.4</v>
      </c>
      <c r="AS24">
        <f t="shared" si="27"/>
        <v>2028.25</v>
      </c>
      <c r="AT24">
        <f t="shared" si="28"/>
        <v>63.700234192037477</v>
      </c>
    </row>
    <row r="25" spans="1:46" ht="15" customHeight="1" x14ac:dyDescent="0.2">
      <c r="A25" s="274">
        <v>18</v>
      </c>
      <c r="B25" s="278" t="s">
        <v>247</v>
      </c>
      <c r="C25" s="189">
        <f t="shared" si="15"/>
        <v>1158.6666666666665</v>
      </c>
      <c r="D25" s="189">
        <f>[2]сус!$C$130</f>
        <v>988</v>
      </c>
      <c r="E25" s="190">
        <f>D25/C25*100</f>
        <v>85.270425776754905</v>
      </c>
      <c r="F25" s="189">
        <f t="shared" si="17"/>
        <v>801.16666666666663</v>
      </c>
      <c r="G25" s="189">
        <f>[2]сус!$O$130</f>
        <v>757</v>
      </c>
      <c r="H25" s="191">
        <f>ROUND(G25/F25*100,1)</f>
        <v>94.5</v>
      </c>
      <c r="I25" s="189">
        <f t="shared" si="19"/>
        <v>1370.4166666666665</v>
      </c>
      <c r="J25" s="189">
        <f>[2]сус!$W$130</f>
        <v>532</v>
      </c>
      <c r="K25" s="191">
        <f>ROUND(J25/I25*100,1)</f>
        <v>38.799999999999997</v>
      </c>
      <c r="L25" s="189">
        <f t="shared" si="21"/>
        <v>11003.666666666668</v>
      </c>
      <c r="M25" s="189">
        <f>[2]сус!$S$130</f>
        <v>10058.450000000001</v>
      </c>
      <c r="N25" s="191">
        <f>ROUND(M25/L25*100,1)</f>
        <v>91.4</v>
      </c>
      <c r="O25" s="189">
        <f t="shared" si="22"/>
        <v>4349.5833333333339</v>
      </c>
      <c r="P25" s="189">
        <f>[2]сус!$AA$130</f>
        <v>3874</v>
      </c>
      <c r="Q25" s="191">
        <f>ROUND(P25/O25*100,1)</f>
        <v>89.1</v>
      </c>
      <c r="R25" s="189">
        <f t="shared" si="23"/>
        <v>496.83333333333331</v>
      </c>
      <c r="S25" s="189">
        <f>[2]сус!$G$130</f>
        <v>472</v>
      </c>
      <c r="T25" s="191">
        <f>ROUND(S25/R25*100,1)</f>
        <v>95</v>
      </c>
      <c r="U25" s="189">
        <f t="shared" si="25"/>
        <v>0</v>
      </c>
      <c r="V25" s="189"/>
      <c r="W25" s="191"/>
      <c r="X25" s="222">
        <v>2880</v>
      </c>
      <c r="Y25" s="299">
        <v>1264</v>
      </c>
      <c r="Z25" s="308">
        <v>46.07</v>
      </c>
      <c r="AA25" s="309">
        <v>2600</v>
      </c>
      <c r="AB25" s="299">
        <v>874</v>
      </c>
      <c r="AC25" s="299">
        <v>34.6</v>
      </c>
      <c r="AD25" s="310">
        <v>2000</v>
      </c>
      <c r="AE25" s="299">
        <v>1495</v>
      </c>
      <c r="AF25" s="331">
        <v>48.16</v>
      </c>
      <c r="AG25" s="312">
        <v>18828</v>
      </c>
      <c r="AH25" s="299">
        <v>12004</v>
      </c>
      <c r="AI25" s="299">
        <v>48.16</v>
      </c>
      <c r="AJ25" s="313">
        <v>10328</v>
      </c>
      <c r="AK25" s="299">
        <v>4745</v>
      </c>
      <c r="AL25" s="331">
        <v>48.16</v>
      </c>
      <c r="AM25" s="314">
        <v>2330</v>
      </c>
      <c r="AN25" s="299">
        <v>542</v>
      </c>
      <c r="AO25" s="311">
        <f>16.77+21.96</f>
        <v>38.730000000000004</v>
      </c>
      <c r="AP25" s="324"/>
      <c r="AQ25" s="299">
        <f t="shared" si="26"/>
        <v>0</v>
      </c>
      <c r="AR25" s="225">
        <v>48.16</v>
      </c>
      <c r="AS25">
        <f t="shared" si="27"/>
        <v>1359.1666666666665</v>
      </c>
      <c r="AT25">
        <f t="shared" si="28"/>
        <v>34.7271612507664</v>
      </c>
    </row>
    <row r="26" spans="1:46" ht="15" customHeight="1" x14ac:dyDescent="0.25">
      <c r="A26" s="391" t="s">
        <v>272</v>
      </c>
      <c r="B26" s="392"/>
      <c r="C26" s="194">
        <f>SUM(C27:C33)</f>
        <v>29278.333333333328</v>
      </c>
      <c r="D26" s="194">
        <f>SUM(D27:D33)</f>
        <v>26399</v>
      </c>
      <c r="E26" s="187">
        <f>D26/C26*100</f>
        <v>90.165651505664044</v>
      </c>
      <c r="F26" s="194">
        <f>SUM(F27:F33)</f>
        <v>15947.250000000004</v>
      </c>
      <c r="G26" s="194">
        <f>SUM(G27:G33)</f>
        <v>14322</v>
      </c>
      <c r="H26" s="188">
        <f>ROUND(G26/F26*100,1)</f>
        <v>89.8</v>
      </c>
      <c r="I26" s="194">
        <f>SUM(I27:I33)</f>
        <v>5349.666666666667</v>
      </c>
      <c r="J26" s="194">
        <f>SUM(J27:J33)</f>
        <v>2675</v>
      </c>
      <c r="K26" s="188">
        <f>ROUND(J26/I26*100,1)</f>
        <v>50</v>
      </c>
      <c r="L26" s="194">
        <f>SUM(L27:L33)</f>
        <v>120241</v>
      </c>
      <c r="M26" s="194">
        <f>SUM(M27:M33)</f>
        <v>114276.63</v>
      </c>
      <c r="N26" s="188">
        <f>ROUND(M26/L26*100,1)</f>
        <v>95</v>
      </c>
      <c r="O26" s="194">
        <f>SUM(O27:O33)</f>
        <v>31147.416666666668</v>
      </c>
      <c r="P26" s="194">
        <f>SUM(P27:P33)</f>
        <v>26847</v>
      </c>
      <c r="Q26" s="188">
        <f t="shared" si="2"/>
        <v>86.2</v>
      </c>
      <c r="R26" s="194">
        <f>SUM(R27:R33)</f>
        <v>9229.9166666666661</v>
      </c>
      <c r="S26" s="194">
        <f>SUM(S27:S33)</f>
        <v>8725</v>
      </c>
      <c r="T26" s="188">
        <f>ROUND(S26/R26*100,1)</f>
        <v>94.5</v>
      </c>
      <c r="U26" s="194">
        <f>SUM(U27:U33)</f>
        <v>0</v>
      </c>
      <c r="V26" s="194">
        <f>SUM(V27:V33)</f>
        <v>0</v>
      </c>
      <c r="W26" s="276"/>
      <c r="X26" s="194">
        <f t="shared" ref="X26:AR26" si="29">SUM(X27:X33)</f>
        <v>80210</v>
      </c>
      <c r="Y26" s="332">
        <f t="shared" si="29"/>
        <v>31940</v>
      </c>
      <c r="Z26" s="332">
        <f t="shared" si="29"/>
        <v>312.73</v>
      </c>
      <c r="AA26" s="332">
        <f t="shared" si="29"/>
        <v>48900</v>
      </c>
      <c r="AB26" s="344">
        <f t="shared" si="29"/>
        <v>17397</v>
      </c>
      <c r="AC26" s="332">
        <f t="shared" si="29"/>
        <v>307.43</v>
      </c>
      <c r="AD26" s="332">
        <f t="shared" si="29"/>
        <v>9252</v>
      </c>
      <c r="AE26" s="332">
        <f t="shared" si="29"/>
        <v>5836</v>
      </c>
      <c r="AF26" s="332">
        <f t="shared" si="29"/>
        <v>322.70999999999998</v>
      </c>
      <c r="AG26" s="332">
        <f t="shared" si="29"/>
        <v>233318</v>
      </c>
      <c r="AH26" s="344">
        <f t="shared" si="29"/>
        <v>131172</v>
      </c>
      <c r="AI26" s="344">
        <f t="shared" si="29"/>
        <v>322.70999999999998</v>
      </c>
      <c r="AJ26" s="344">
        <f t="shared" si="29"/>
        <v>120012</v>
      </c>
      <c r="AK26" s="344">
        <f t="shared" si="29"/>
        <v>33979</v>
      </c>
      <c r="AL26" s="332">
        <f t="shared" si="29"/>
        <v>322.70999999999998</v>
      </c>
      <c r="AM26" s="332">
        <f t="shared" si="29"/>
        <v>21399</v>
      </c>
      <c r="AN26" s="332">
        <f t="shared" si="29"/>
        <v>10069</v>
      </c>
      <c r="AO26" s="332">
        <f>SUM(AO27:AO33)</f>
        <v>294.51</v>
      </c>
      <c r="AP26" s="332">
        <f t="shared" si="29"/>
        <v>0</v>
      </c>
      <c r="AQ26" s="332">
        <f t="shared" si="29"/>
        <v>0</v>
      </c>
      <c r="AR26" s="194">
        <f t="shared" si="29"/>
        <v>322.81</v>
      </c>
      <c r="AS26">
        <f t="shared" si="27"/>
        <v>12482.75</v>
      </c>
      <c r="AT26">
        <f t="shared" si="28"/>
        <v>69.896457110812932</v>
      </c>
    </row>
    <row r="27" spans="1:46" ht="15" customHeight="1" x14ac:dyDescent="0.2">
      <c r="A27" s="66">
        <v>19</v>
      </c>
      <c r="B27" s="67" t="s">
        <v>231</v>
      </c>
      <c r="C27" s="189">
        <f t="shared" ref="C27:C33" si="30">Y27/12*11</f>
        <v>1354.8333333333335</v>
      </c>
      <c r="D27" s="189">
        <f>[4]кадый!$C$130</f>
        <v>1095</v>
      </c>
      <c r="E27" s="190">
        <f t="shared" si="16"/>
        <v>80.821749292655909</v>
      </c>
      <c r="F27" s="189">
        <f t="shared" ref="F27:F33" si="31">AB27/12*11</f>
        <v>1463.9166666666667</v>
      </c>
      <c r="G27" s="189">
        <f>[4]кадый!$O$130</f>
        <v>1295</v>
      </c>
      <c r="H27" s="191">
        <f t="shared" si="18"/>
        <v>88.5</v>
      </c>
      <c r="I27" s="189">
        <f t="shared" ref="I27:I33" si="32">AE27/12*11</f>
        <v>891</v>
      </c>
      <c r="J27" s="189">
        <f>[4]кадый!$W$130</f>
        <v>548</v>
      </c>
      <c r="K27" s="191">
        <f t="shared" si="20"/>
        <v>61.5</v>
      </c>
      <c r="L27" s="189">
        <f t="shared" ref="L27:L33" si="33">AH27/12*11</f>
        <v>7433.25</v>
      </c>
      <c r="M27" s="189">
        <f>[4]кадый!$S$130</f>
        <v>6794.0600000000013</v>
      </c>
      <c r="N27" s="191">
        <f t="shared" si="13"/>
        <v>91.4</v>
      </c>
      <c r="O27" s="189">
        <f t="shared" ref="O27:O33" si="34">AK27/12*11</f>
        <v>2208.25</v>
      </c>
      <c r="P27" s="189">
        <f>[4]кадый!$AA$130</f>
        <v>1868</v>
      </c>
      <c r="Q27" s="191">
        <f t="shared" si="2"/>
        <v>84.6</v>
      </c>
      <c r="R27" s="189">
        <f t="shared" ref="R27:R33" si="35">AN27/12*11</f>
        <v>747.08333333333337</v>
      </c>
      <c r="S27" s="261">
        <f>[4]кадый!$G$130</f>
        <v>669</v>
      </c>
      <c r="T27" s="191">
        <f t="shared" si="24"/>
        <v>89.5</v>
      </c>
      <c r="U27" s="189">
        <f t="shared" ref="U27:U33" si="36">AQ27/12*11</f>
        <v>0</v>
      </c>
      <c r="V27" s="189"/>
      <c r="W27" s="191"/>
      <c r="X27" s="222">
        <v>4896</v>
      </c>
      <c r="Y27" s="299">
        <v>1478</v>
      </c>
      <c r="Z27" s="308">
        <v>40.5</v>
      </c>
      <c r="AA27" s="309">
        <v>5250</v>
      </c>
      <c r="AB27" s="299">
        <v>1597</v>
      </c>
      <c r="AC27" s="299">
        <v>41.45</v>
      </c>
      <c r="AD27" s="310">
        <v>2000</v>
      </c>
      <c r="AE27" s="299">
        <v>972</v>
      </c>
      <c r="AF27" s="331">
        <v>40.57</v>
      </c>
      <c r="AG27" s="312">
        <v>20957</v>
      </c>
      <c r="AH27" s="299">
        <v>8109</v>
      </c>
      <c r="AI27" s="299">
        <v>40.57</v>
      </c>
      <c r="AJ27" s="313">
        <v>13342</v>
      </c>
      <c r="AK27" s="299">
        <v>2409</v>
      </c>
      <c r="AL27" s="331">
        <v>40.57</v>
      </c>
      <c r="AM27" s="314">
        <v>2141</v>
      </c>
      <c r="AN27" s="299">
        <v>815</v>
      </c>
      <c r="AO27" s="311">
        <f>35.87+2.45</f>
        <v>38.32</v>
      </c>
      <c r="AP27" s="324"/>
      <c r="AQ27" s="299">
        <f t="shared" si="26"/>
        <v>0</v>
      </c>
      <c r="AR27" s="225">
        <v>40.57</v>
      </c>
      <c r="AS27">
        <f t="shared" si="27"/>
        <v>1248.9166666666665</v>
      </c>
      <c r="AT27">
        <f t="shared" si="28"/>
        <v>53.566424234336431</v>
      </c>
    </row>
    <row r="28" spans="1:46" ht="15" customHeight="1" x14ac:dyDescent="0.2">
      <c r="A28" s="66">
        <v>20</v>
      </c>
      <c r="B28" s="67" t="s">
        <v>232</v>
      </c>
      <c r="C28" s="189">
        <f t="shared" si="30"/>
        <v>1419.9166666666667</v>
      </c>
      <c r="D28" s="189">
        <f>[2]кол!$C$130</f>
        <v>956</v>
      </c>
      <c r="E28" s="190">
        <f t="shared" si="16"/>
        <v>67.327894829508779</v>
      </c>
      <c r="F28" s="189">
        <f t="shared" si="31"/>
        <v>830.5</v>
      </c>
      <c r="G28" s="189">
        <f>[2]кол!$O$130</f>
        <v>659</v>
      </c>
      <c r="H28" s="191">
        <f t="shared" si="18"/>
        <v>79.3</v>
      </c>
      <c r="I28" s="189">
        <f t="shared" si="32"/>
        <v>795.66666666666663</v>
      </c>
      <c r="J28" s="189">
        <f>[2]кол!$W$130</f>
        <v>176</v>
      </c>
      <c r="K28" s="191">
        <f t="shared" si="20"/>
        <v>22.1</v>
      </c>
      <c r="L28" s="189">
        <f t="shared" si="33"/>
        <v>7755</v>
      </c>
      <c r="M28" s="189">
        <f>[2]кол!$S$130</f>
        <v>7340.14</v>
      </c>
      <c r="N28" s="191">
        <f t="shared" si="13"/>
        <v>94.7</v>
      </c>
      <c r="O28" s="189">
        <f t="shared" si="34"/>
        <v>1798.5</v>
      </c>
      <c r="P28" s="189">
        <f>[2]кол!$AA$130</f>
        <v>1567</v>
      </c>
      <c r="Q28" s="191">
        <f t="shared" si="2"/>
        <v>87.1</v>
      </c>
      <c r="R28" s="189">
        <f t="shared" si="35"/>
        <v>1509.75</v>
      </c>
      <c r="S28" s="189">
        <f>[2]кол!$G$130</f>
        <v>1303</v>
      </c>
      <c r="T28" s="191">
        <f t="shared" si="24"/>
        <v>86.3</v>
      </c>
      <c r="U28" s="189">
        <f t="shared" si="36"/>
        <v>0</v>
      </c>
      <c r="V28" s="189"/>
      <c r="W28" s="191"/>
      <c r="X28" s="222">
        <v>3300</v>
      </c>
      <c r="Y28" s="299">
        <v>1549</v>
      </c>
      <c r="Z28" s="308">
        <v>57.93</v>
      </c>
      <c r="AA28" s="309">
        <v>4250</v>
      </c>
      <c r="AB28" s="299">
        <v>906</v>
      </c>
      <c r="AC28" s="299">
        <v>58.91</v>
      </c>
      <c r="AD28" s="310">
        <v>534</v>
      </c>
      <c r="AE28" s="299">
        <v>868</v>
      </c>
      <c r="AF28" s="331">
        <v>53.01</v>
      </c>
      <c r="AG28" s="312">
        <v>21637</v>
      </c>
      <c r="AH28" s="299">
        <v>8460</v>
      </c>
      <c r="AI28" s="299">
        <v>53.01</v>
      </c>
      <c r="AJ28" s="313">
        <v>6930</v>
      </c>
      <c r="AK28" s="299">
        <v>1962</v>
      </c>
      <c r="AL28" s="331">
        <v>53.01</v>
      </c>
      <c r="AM28" s="314">
        <v>1906</v>
      </c>
      <c r="AN28" s="299">
        <v>1647</v>
      </c>
      <c r="AO28" s="311">
        <v>61.52</v>
      </c>
      <c r="AP28" s="324"/>
      <c r="AQ28" s="299">
        <f t="shared" si="26"/>
        <v>0</v>
      </c>
      <c r="AR28" s="225">
        <v>53.01</v>
      </c>
      <c r="AS28">
        <f t="shared" si="27"/>
        <v>1111.8333333333335</v>
      </c>
      <c r="AT28">
        <f t="shared" si="28"/>
        <v>117.19382401439063</v>
      </c>
    </row>
    <row r="29" spans="1:46" ht="15" customHeight="1" x14ac:dyDescent="0.2">
      <c r="A29" s="66">
        <v>21</v>
      </c>
      <c r="B29" s="67" t="s">
        <v>233</v>
      </c>
      <c r="C29" s="189">
        <f t="shared" si="30"/>
        <v>4598.9166666666661</v>
      </c>
      <c r="D29" s="189">
        <f>[3]МАК!$C$130</f>
        <v>3966</v>
      </c>
      <c r="E29" s="190">
        <f t="shared" si="16"/>
        <v>86.2377009078225</v>
      </c>
      <c r="F29" s="189">
        <f t="shared" si="31"/>
        <v>4268</v>
      </c>
      <c r="G29" s="189">
        <f>[3]МАК!$O$130</f>
        <v>3854</v>
      </c>
      <c r="H29" s="191">
        <f t="shared" si="18"/>
        <v>90.3</v>
      </c>
      <c r="I29" s="189">
        <f t="shared" si="32"/>
        <v>861.66666666666663</v>
      </c>
      <c r="J29" s="189">
        <f>[3]МАК!$W$130</f>
        <v>409</v>
      </c>
      <c r="K29" s="191">
        <f t="shared" si="20"/>
        <v>47.5</v>
      </c>
      <c r="L29" s="189">
        <f t="shared" si="33"/>
        <v>30185.833333333332</v>
      </c>
      <c r="M29" s="189">
        <f>[3]МАК!$S$130</f>
        <v>28693.33</v>
      </c>
      <c r="N29" s="191">
        <f t="shared" si="13"/>
        <v>95.1</v>
      </c>
      <c r="O29" s="189">
        <f t="shared" si="34"/>
        <v>9848.6666666666679</v>
      </c>
      <c r="P29" s="189">
        <f>[3]МАК!$AA$130</f>
        <v>8531</v>
      </c>
      <c r="Q29" s="191">
        <f t="shared" si="2"/>
        <v>86.6</v>
      </c>
      <c r="R29" s="189">
        <f t="shared" si="35"/>
        <v>2214.666666666667</v>
      </c>
      <c r="S29" s="189">
        <f>[3]МАК!$G$130</f>
        <v>2097</v>
      </c>
      <c r="T29" s="191">
        <f t="shared" si="24"/>
        <v>94.7</v>
      </c>
      <c r="U29" s="189">
        <f t="shared" si="36"/>
        <v>0</v>
      </c>
      <c r="V29" s="189"/>
      <c r="W29" s="191"/>
      <c r="X29" s="222">
        <v>9800</v>
      </c>
      <c r="Y29" s="299">
        <v>5017</v>
      </c>
      <c r="Z29" s="308">
        <v>55.29</v>
      </c>
      <c r="AA29" s="309">
        <v>12900</v>
      </c>
      <c r="AB29" s="299">
        <v>4656</v>
      </c>
      <c r="AC29" s="299">
        <v>53.68</v>
      </c>
      <c r="AD29" s="310">
        <v>1000</v>
      </c>
      <c r="AE29" s="299">
        <v>940</v>
      </c>
      <c r="AF29" s="331">
        <v>56.58</v>
      </c>
      <c r="AG29" s="312">
        <v>39625</v>
      </c>
      <c r="AH29" s="299">
        <v>32930</v>
      </c>
      <c r="AI29" s="299">
        <v>56.58</v>
      </c>
      <c r="AJ29" s="313">
        <v>29062</v>
      </c>
      <c r="AK29" s="299">
        <v>10744</v>
      </c>
      <c r="AL29" s="331">
        <v>56.58</v>
      </c>
      <c r="AM29" s="314">
        <v>4712</v>
      </c>
      <c r="AN29" s="299">
        <v>2416</v>
      </c>
      <c r="AO29" s="311">
        <v>47.65</v>
      </c>
      <c r="AP29" s="324"/>
      <c r="AQ29" s="299">
        <f t="shared" si="26"/>
        <v>0</v>
      </c>
      <c r="AR29" s="225">
        <v>56.68</v>
      </c>
      <c r="AS29">
        <f t="shared" si="27"/>
        <v>2748.666666666667</v>
      </c>
      <c r="AT29">
        <f t="shared" si="28"/>
        <v>76.291535289837483</v>
      </c>
    </row>
    <row r="30" spans="1:46" ht="15" customHeight="1" x14ac:dyDescent="0.2">
      <c r="A30" s="66">
        <v>22</v>
      </c>
      <c r="B30" s="67" t="s">
        <v>205</v>
      </c>
      <c r="C30" s="189">
        <f t="shared" si="30"/>
        <v>15237.75</v>
      </c>
      <c r="D30" s="189">
        <f>[3]МАНТ!$C$130</f>
        <v>14920</v>
      </c>
      <c r="E30" s="190">
        <f t="shared" si="16"/>
        <v>97.9147183803383</v>
      </c>
      <c r="F30" s="189">
        <f t="shared" si="31"/>
        <v>3269.75</v>
      </c>
      <c r="G30" s="189">
        <f>[3]МАНТ!$O$130</f>
        <v>2907</v>
      </c>
      <c r="H30" s="191">
        <f t="shared" si="18"/>
        <v>88.9</v>
      </c>
      <c r="I30" s="189">
        <f t="shared" si="32"/>
        <v>1012</v>
      </c>
      <c r="J30" s="189">
        <f>[3]МАНТ!$W$130</f>
        <v>712</v>
      </c>
      <c r="K30" s="191">
        <f t="shared" si="20"/>
        <v>70.400000000000006</v>
      </c>
      <c r="L30" s="189">
        <f t="shared" si="33"/>
        <v>36998.5</v>
      </c>
      <c r="M30" s="189">
        <f>[3]МАНТ!$S$130</f>
        <v>35524.04</v>
      </c>
      <c r="N30" s="191">
        <f t="shared" si="13"/>
        <v>96</v>
      </c>
      <c r="O30" s="189">
        <f t="shared" si="34"/>
        <v>6768.666666666667</v>
      </c>
      <c r="P30" s="189">
        <f>[3]МАНТ!$AA$130</f>
        <v>5733</v>
      </c>
      <c r="Q30" s="191">
        <f t="shared" si="2"/>
        <v>84.7</v>
      </c>
      <c r="R30" s="189">
        <f t="shared" si="35"/>
        <v>2877.4166666666665</v>
      </c>
      <c r="S30" s="189">
        <f>[3]МАНТ!$G$130</f>
        <v>2822</v>
      </c>
      <c r="T30" s="191">
        <f t="shared" si="24"/>
        <v>98.1</v>
      </c>
      <c r="U30" s="189">
        <f t="shared" si="36"/>
        <v>0</v>
      </c>
      <c r="V30" s="189"/>
      <c r="W30" s="191"/>
      <c r="X30" s="222">
        <v>44188</v>
      </c>
      <c r="Y30" s="299">
        <v>16623</v>
      </c>
      <c r="Z30" s="308">
        <v>41.64</v>
      </c>
      <c r="AA30" s="309">
        <v>9250</v>
      </c>
      <c r="AB30" s="299">
        <v>3567</v>
      </c>
      <c r="AC30" s="299">
        <v>35.29</v>
      </c>
      <c r="AD30" s="310">
        <v>2000</v>
      </c>
      <c r="AE30" s="299">
        <v>1104</v>
      </c>
      <c r="AF30" s="331">
        <v>42.25</v>
      </c>
      <c r="AG30" s="312">
        <v>67616</v>
      </c>
      <c r="AH30" s="299">
        <v>40362</v>
      </c>
      <c r="AI30" s="299">
        <v>42.25</v>
      </c>
      <c r="AJ30" s="313">
        <v>28147</v>
      </c>
      <c r="AK30" s="299">
        <v>7384</v>
      </c>
      <c r="AL30" s="331">
        <v>42.25</v>
      </c>
      <c r="AM30" s="314">
        <v>7079</v>
      </c>
      <c r="AN30" s="299">
        <v>3139</v>
      </c>
      <c r="AO30" s="311">
        <f>41.22+1.88</f>
        <v>43.1</v>
      </c>
      <c r="AP30" s="324"/>
      <c r="AQ30" s="299">
        <f t="shared" si="26"/>
        <v>0</v>
      </c>
      <c r="AR30" s="225">
        <v>42.25</v>
      </c>
      <c r="AS30">
        <f t="shared" si="27"/>
        <v>4129.4166666666661</v>
      </c>
      <c r="AT30">
        <f t="shared" si="28"/>
        <v>68.338950214921411</v>
      </c>
    </row>
    <row r="31" spans="1:46" ht="15" customHeight="1" x14ac:dyDescent="0.2">
      <c r="A31" s="66">
        <v>23</v>
      </c>
      <c r="B31" s="67" t="s">
        <v>206</v>
      </c>
      <c r="C31" s="189">
        <f t="shared" si="30"/>
        <v>0</v>
      </c>
      <c r="D31" s="189">
        <f>[2]спас!$C$130</f>
        <v>0</v>
      </c>
      <c r="E31" s="190"/>
      <c r="F31" s="189">
        <f t="shared" si="31"/>
        <v>975.33333333333337</v>
      </c>
      <c r="G31" s="189">
        <f>[2]спас!$O$130</f>
        <v>859</v>
      </c>
      <c r="H31" s="191">
        <f t="shared" si="18"/>
        <v>88.1</v>
      </c>
      <c r="I31" s="189">
        <f t="shared" si="32"/>
        <v>500.5</v>
      </c>
      <c r="J31" s="189">
        <f>[2]спас!$W$130</f>
        <v>117</v>
      </c>
      <c r="K31" s="191">
        <f t="shared" si="20"/>
        <v>23.4</v>
      </c>
      <c r="L31" s="189">
        <f t="shared" si="33"/>
        <v>6386.416666666667</v>
      </c>
      <c r="M31" s="189">
        <f>[2]спас!$S$130</f>
        <v>5915.99</v>
      </c>
      <c r="N31" s="191">
        <f t="shared" si="13"/>
        <v>92.6</v>
      </c>
      <c r="O31" s="189">
        <f t="shared" si="34"/>
        <v>868.08333333333337</v>
      </c>
      <c r="P31" s="189">
        <f>[2]спас!$AA$130</f>
        <v>631</v>
      </c>
      <c r="Q31" s="191">
        <f t="shared" si="2"/>
        <v>72.7</v>
      </c>
      <c r="R31" s="189">
        <f t="shared" si="35"/>
        <v>0</v>
      </c>
      <c r="S31" s="189">
        <f>[2]спас!$G$130</f>
        <v>0</v>
      </c>
      <c r="T31" s="191"/>
      <c r="U31" s="189">
        <f t="shared" si="36"/>
        <v>0</v>
      </c>
      <c r="V31" s="189"/>
      <c r="W31" s="191"/>
      <c r="X31" s="222"/>
      <c r="Y31" s="299">
        <f>VALUE(X31*Z31/100)</f>
        <v>0</v>
      </c>
      <c r="Z31" s="308"/>
      <c r="AA31" s="309">
        <v>3250</v>
      </c>
      <c r="AB31" s="299">
        <v>1064</v>
      </c>
      <c r="AC31" s="299">
        <v>27.31</v>
      </c>
      <c r="AD31" s="310">
        <v>1318</v>
      </c>
      <c r="AE31" s="299">
        <v>546</v>
      </c>
      <c r="AF31" s="331">
        <v>31.69</v>
      </c>
      <c r="AG31" s="312">
        <v>10004</v>
      </c>
      <c r="AH31" s="299">
        <v>6967</v>
      </c>
      <c r="AI31" s="299">
        <v>31.69</v>
      </c>
      <c r="AJ31" s="313">
        <v>5549</v>
      </c>
      <c r="AK31" s="299">
        <v>947</v>
      </c>
      <c r="AL31" s="331">
        <v>31.69</v>
      </c>
      <c r="AM31" s="314"/>
      <c r="AN31" s="299">
        <f>VALUE(AM31*AO31/100)</f>
        <v>0</v>
      </c>
      <c r="AO31" s="311">
        <v>31.69</v>
      </c>
      <c r="AP31" s="324"/>
      <c r="AQ31" s="299">
        <f t="shared" si="26"/>
        <v>0</v>
      </c>
      <c r="AR31" s="225">
        <v>31.69</v>
      </c>
      <c r="AS31">
        <f t="shared" si="27"/>
        <v>0</v>
      </c>
      <c r="AT31" t="e">
        <f t="shared" si="28"/>
        <v>#DIV/0!</v>
      </c>
    </row>
    <row r="32" spans="1:46" ht="15" customHeight="1" x14ac:dyDescent="0.2">
      <c r="A32" s="66">
        <v>24</v>
      </c>
      <c r="B32" s="67" t="s">
        <v>234</v>
      </c>
      <c r="C32" s="189">
        <f t="shared" si="30"/>
        <v>2369.583333333333</v>
      </c>
      <c r="D32" s="189">
        <f>[4]межа!$C$130</f>
        <v>1581</v>
      </c>
      <c r="E32" s="190">
        <f t="shared" si="16"/>
        <v>66.720590821171101</v>
      </c>
      <c r="F32" s="189">
        <f t="shared" si="31"/>
        <v>2826.0833333333335</v>
      </c>
      <c r="G32" s="189">
        <f>[4]межа!$O$130</f>
        <v>2633</v>
      </c>
      <c r="H32" s="191">
        <f t="shared" si="18"/>
        <v>93.2</v>
      </c>
      <c r="I32" s="189">
        <f t="shared" si="32"/>
        <v>779.16666666666663</v>
      </c>
      <c r="J32" s="189">
        <f>[4]межа!$W$130</f>
        <v>493</v>
      </c>
      <c r="K32" s="191">
        <f t="shared" si="20"/>
        <v>63.3</v>
      </c>
      <c r="L32" s="189">
        <f t="shared" si="33"/>
        <v>14453.083333333334</v>
      </c>
      <c r="M32" s="189">
        <f>[4]межа!$S$130</f>
        <v>13516.060000000001</v>
      </c>
      <c r="N32" s="191">
        <f t="shared" si="13"/>
        <v>93.5</v>
      </c>
      <c r="O32" s="189">
        <f t="shared" si="34"/>
        <v>4034.25</v>
      </c>
      <c r="P32" s="189">
        <f>[4]межа!$AA$130</f>
        <v>3300</v>
      </c>
      <c r="Q32" s="191">
        <f t="shared" si="2"/>
        <v>81.8</v>
      </c>
      <c r="R32" s="189">
        <f t="shared" si="35"/>
        <v>748.91666666666663</v>
      </c>
      <c r="S32" s="261">
        <f>[4]межа!$G$130</f>
        <v>780</v>
      </c>
      <c r="T32" s="191">
        <f t="shared" si="24"/>
        <v>104.2</v>
      </c>
      <c r="U32" s="189">
        <f t="shared" si="36"/>
        <v>0</v>
      </c>
      <c r="V32" s="189"/>
      <c r="W32" s="191"/>
      <c r="X32" s="227">
        <v>2400</v>
      </c>
      <c r="Y32" s="299">
        <v>2585</v>
      </c>
      <c r="Z32" s="308">
        <v>81.459999999999994</v>
      </c>
      <c r="AA32" s="309">
        <v>4500</v>
      </c>
      <c r="AB32" s="299">
        <v>3083</v>
      </c>
      <c r="AC32" s="299">
        <v>57.47</v>
      </c>
      <c r="AD32" s="310">
        <v>1400</v>
      </c>
      <c r="AE32" s="299">
        <v>850</v>
      </c>
      <c r="AF32" s="331">
        <v>65.680000000000007</v>
      </c>
      <c r="AG32" s="312">
        <v>13831</v>
      </c>
      <c r="AH32" s="299">
        <v>15767</v>
      </c>
      <c r="AI32" s="299">
        <v>65.680000000000007</v>
      </c>
      <c r="AJ32" s="313">
        <v>13215</v>
      </c>
      <c r="AK32" s="299">
        <v>4401</v>
      </c>
      <c r="AL32" s="331">
        <v>65.680000000000007</v>
      </c>
      <c r="AM32" s="314">
        <v>1332</v>
      </c>
      <c r="AN32" s="299">
        <v>817</v>
      </c>
      <c r="AO32" s="311">
        <f>29.6+13.3</f>
        <v>42.900000000000006</v>
      </c>
      <c r="AP32" s="324"/>
      <c r="AQ32" s="299">
        <f t="shared" si="26"/>
        <v>0</v>
      </c>
      <c r="AR32" s="225">
        <v>65.680000000000007</v>
      </c>
      <c r="AS32">
        <f t="shared" si="27"/>
        <v>777</v>
      </c>
      <c r="AT32">
        <f t="shared" si="28"/>
        <v>100.38610038610038</v>
      </c>
    </row>
    <row r="33" spans="1:46" ht="15" customHeight="1" x14ac:dyDescent="0.2">
      <c r="A33" s="66">
        <v>25</v>
      </c>
      <c r="B33" s="67" t="s">
        <v>235</v>
      </c>
      <c r="C33" s="189">
        <f t="shared" si="30"/>
        <v>4297.3333333333339</v>
      </c>
      <c r="D33" s="189">
        <f>[2]нея!$C$130</f>
        <v>3881</v>
      </c>
      <c r="E33" s="190">
        <f t="shared" si="16"/>
        <v>90.311821284517507</v>
      </c>
      <c r="F33" s="189">
        <f t="shared" si="31"/>
        <v>2313.666666666667</v>
      </c>
      <c r="G33" s="189">
        <f>[2]нея!$O$130</f>
        <v>2115</v>
      </c>
      <c r="H33" s="191">
        <f t="shared" si="18"/>
        <v>91.4</v>
      </c>
      <c r="I33" s="189">
        <f t="shared" si="32"/>
        <v>509.66666666666669</v>
      </c>
      <c r="J33" s="189">
        <f>[2]нея!$W$130</f>
        <v>220</v>
      </c>
      <c r="K33" s="191">
        <f t="shared" si="20"/>
        <v>43.2</v>
      </c>
      <c r="L33" s="189">
        <f t="shared" si="33"/>
        <v>17028.916666666664</v>
      </c>
      <c r="M33" s="189">
        <f>[2]нея!$S$130</f>
        <v>16493.009999999998</v>
      </c>
      <c r="N33" s="191">
        <f t="shared" si="13"/>
        <v>96.9</v>
      </c>
      <c r="O33" s="189">
        <f t="shared" si="34"/>
        <v>5621</v>
      </c>
      <c r="P33" s="189">
        <f>[2]нея!$AA$130</f>
        <v>5217</v>
      </c>
      <c r="Q33" s="191">
        <f t="shared" si="2"/>
        <v>92.8</v>
      </c>
      <c r="R33" s="189">
        <f t="shared" si="35"/>
        <v>1132.0833333333335</v>
      </c>
      <c r="S33" s="189">
        <f>[2]нея!$G$130</f>
        <v>1054</v>
      </c>
      <c r="T33" s="191">
        <f t="shared" si="24"/>
        <v>93.1</v>
      </c>
      <c r="U33" s="189">
        <f t="shared" si="36"/>
        <v>0</v>
      </c>
      <c r="V33" s="189"/>
      <c r="W33" s="191"/>
      <c r="X33" s="227">
        <v>15626</v>
      </c>
      <c r="Y33" s="299">
        <v>4688</v>
      </c>
      <c r="Z33" s="308">
        <v>35.909999999999997</v>
      </c>
      <c r="AA33" s="309">
        <v>9500</v>
      </c>
      <c r="AB33" s="299">
        <v>2524</v>
      </c>
      <c r="AC33" s="299">
        <v>33.32</v>
      </c>
      <c r="AD33" s="310">
        <v>1000</v>
      </c>
      <c r="AE33" s="299">
        <v>556</v>
      </c>
      <c r="AF33" s="331">
        <v>32.93</v>
      </c>
      <c r="AG33" s="312">
        <v>59648</v>
      </c>
      <c r="AH33" s="299">
        <v>18577</v>
      </c>
      <c r="AI33" s="299">
        <v>32.93</v>
      </c>
      <c r="AJ33" s="313">
        <v>23767</v>
      </c>
      <c r="AK33" s="299">
        <v>6132</v>
      </c>
      <c r="AL33" s="331">
        <v>32.93</v>
      </c>
      <c r="AM33" s="314">
        <v>4229</v>
      </c>
      <c r="AN33" s="299">
        <v>1235</v>
      </c>
      <c r="AO33" s="311">
        <f>29.83-0.5</f>
        <v>29.33</v>
      </c>
      <c r="AP33" s="324"/>
      <c r="AQ33" s="299">
        <f t="shared" si="26"/>
        <v>0</v>
      </c>
      <c r="AR33" s="225">
        <v>32.93</v>
      </c>
      <c r="AS33">
        <f t="shared" si="27"/>
        <v>2466.916666666667</v>
      </c>
      <c r="AT33">
        <f t="shared" si="28"/>
        <v>42.725399452758161</v>
      </c>
    </row>
    <row r="34" spans="1:46" ht="15" customHeight="1" x14ac:dyDescent="0.25">
      <c r="A34" s="391" t="s">
        <v>273</v>
      </c>
      <c r="B34" s="392"/>
      <c r="C34" s="194">
        <f>SUM(C35:C41)</f>
        <v>53154.749999999993</v>
      </c>
      <c r="D34" s="194">
        <f>SUM(D35:D41)</f>
        <v>51279</v>
      </c>
      <c r="E34" s="187">
        <f>D34/C34*100</f>
        <v>96.471152625118179</v>
      </c>
      <c r="F34" s="194">
        <f>SUM(F35:F41)</f>
        <v>20479.25</v>
      </c>
      <c r="G34" s="194">
        <f>SUM(G35:G41)</f>
        <v>17452</v>
      </c>
      <c r="H34" s="188">
        <f t="shared" si="18"/>
        <v>85.2</v>
      </c>
      <c r="I34" s="194">
        <f>SUM(I35:I41)</f>
        <v>6854.8333333333339</v>
      </c>
      <c r="J34" s="194">
        <f>SUM(J35:J41)</f>
        <v>3497</v>
      </c>
      <c r="K34" s="188">
        <f>ROUND(J34/I34*100,1)</f>
        <v>51</v>
      </c>
      <c r="L34" s="194">
        <f>SUM(L35:L41)</f>
        <v>190128.58333333337</v>
      </c>
      <c r="M34" s="194">
        <f>SUM(M35:M41)</f>
        <v>186103.91</v>
      </c>
      <c r="N34" s="188">
        <f>ROUND(M34/L34*100,1)</f>
        <v>97.9</v>
      </c>
      <c r="O34" s="194">
        <f>SUM(O35:O41)</f>
        <v>25555.749999999996</v>
      </c>
      <c r="P34" s="194">
        <f>SUM(P35:P41)</f>
        <v>22519</v>
      </c>
      <c r="Q34" s="188">
        <f t="shared" si="2"/>
        <v>88.1</v>
      </c>
      <c r="R34" s="194">
        <f>SUM(R35:R41)</f>
        <v>10176.833333333334</v>
      </c>
      <c r="S34" s="194">
        <f>SUM(S35:S41)</f>
        <v>9533</v>
      </c>
      <c r="T34" s="188">
        <f t="shared" si="24"/>
        <v>93.7</v>
      </c>
      <c r="U34" s="194">
        <f>SUM(U35:U41)</f>
        <v>231</v>
      </c>
      <c r="V34" s="194">
        <f>SUM(V35:V41)</f>
        <v>252</v>
      </c>
      <c r="W34" s="188">
        <f>ROUND(V34/U34*100,1)</f>
        <v>109.1</v>
      </c>
      <c r="X34" s="254">
        <f>SUM(X35:X41)</f>
        <v>138803</v>
      </c>
      <c r="Y34" s="306">
        <f t="shared" ref="Y34:AR34" si="37">SUM(Y35:Y41)</f>
        <v>57987</v>
      </c>
      <c r="Z34" s="306">
        <f t="shared" si="37"/>
        <v>330.63</v>
      </c>
      <c r="AA34" s="306">
        <f t="shared" si="37"/>
        <v>54700</v>
      </c>
      <c r="AB34" s="306">
        <f t="shared" si="37"/>
        <v>22341</v>
      </c>
      <c r="AC34" s="306">
        <f t="shared" si="37"/>
        <v>281.75</v>
      </c>
      <c r="AD34" s="306">
        <f t="shared" si="37"/>
        <v>24366</v>
      </c>
      <c r="AE34" s="306">
        <f t="shared" si="37"/>
        <v>7478</v>
      </c>
      <c r="AF34" s="306">
        <f t="shared" si="37"/>
        <v>302.75</v>
      </c>
      <c r="AG34" s="306">
        <f t="shared" si="37"/>
        <v>294575</v>
      </c>
      <c r="AH34" s="306">
        <f t="shared" si="37"/>
        <v>207413</v>
      </c>
      <c r="AI34" s="306">
        <f t="shared" si="37"/>
        <v>302.75</v>
      </c>
      <c r="AJ34" s="306">
        <f t="shared" si="37"/>
        <v>124069</v>
      </c>
      <c r="AK34" s="306">
        <f t="shared" si="37"/>
        <v>27879</v>
      </c>
      <c r="AL34" s="306">
        <f t="shared" si="37"/>
        <v>302.75</v>
      </c>
      <c r="AM34" s="306">
        <f t="shared" si="37"/>
        <v>24300</v>
      </c>
      <c r="AN34" s="306">
        <f t="shared" si="37"/>
        <v>11102</v>
      </c>
      <c r="AO34" s="306">
        <f>SUM(AO35:AO41)</f>
        <v>273.64999999999998</v>
      </c>
      <c r="AP34" s="306">
        <f t="shared" si="37"/>
        <v>331</v>
      </c>
      <c r="AQ34" s="306">
        <f t="shared" si="37"/>
        <v>252</v>
      </c>
      <c r="AR34" s="254">
        <f t="shared" si="37"/>
        <v>302.75</v>
      </c>
      <c r="AS34">
        <f t="shared" si="27"/>
        <v>14175</v>
      </c>
      <c r="AT34">
        <f t="shared" si="28"/>
        <v>67.252204585537925</v>
      </c>
    </row>
    <row r="35" spans="1:46" ht="15" customHeight="1" x14ac:dyDescent="0.2">
      <c r="A35" s="66">
        <v>26</v>
      </c>
      <c r="B35" s="67" t="s">
        <v>207</v>
      </c>
      <c r="C35" s="189">
        <f t="shared" ref="C35:C41" si="38">Y35/12*11</f>
        <v>37990.333333333328</v>
      </c>
      <c r="D35" s="189">
        <f>[3]ШАР!$C$130</f>
        <v>38170</v>
      </c>
      <c r="E35" s="190">
        <f t="shared" si="16"/>
        <v>100.47292732361743</v>
      </c>
      <c r="F35" s="189">
        <f t="shared" ref="F35:F41" si="39">AB35/12*11</f>
        <v>4324.8333333333339</v>
      </c>
      <c r="G35" s="189">
        <f>[3]ШАР!$O$130</f>
        <v>3914</v>
      </c>
      <c r="H35" s="191">
        <f t="shared" si="18"/>
        <v>90.5</v>
      </c>
      <c r="I35" s="189">
        <f t="shared" ref="I35:I41" si="40">AE35/12*11</f>
        <v>1563.8333333333333</v>
      </c>
      <c r="J35" s="189">
        <f>[3]ШАР!$W$130</f>
        <v>1036</v>
      </c>
      <c r="K35" s="191">
        <f t="shared" si="20"/>
        <v>66.2</v>
      </c>
      <c r="L35" s="189">
        <f t="shared" ref="L35:L41" si="41">AH35/12*11</f>
        <v>114907.83333333333</v>
      </c>
      <c r="M35" s="189">
        <f>[3]ШАР!$S$130</f>
        <v>112655.95999999999</v>
      </c>
      <c r="N35" s="191">
        <f t="shared" si="13"/>
        <v>98</v>
      </c>
      <c r="O35" s="189">
        <f t="shared" ref="O35:O41" si="42">AK35/12*11</f>
        <v>11078.833333333332</v>
      </c>
      <c r="P35" s="189">
        <f>[3]ШАР!$AA$130</f>
        <v>10355</v>
      </c>
      <c r="Q35" s="191">
        <f t="shared" si="2"/>
        <v>93.5</v>
      </c>
      <c r="R35" s="189">
        <f t="shared" ref="R35:R41" si="43">AN35/12*11</f>
        <v>5344.1666666666661</v>
      </c>
      <c r="S35" s="189">
        <f>[3]ШАР!$G$130</f>
        <v>5175</v>
      </c>
      <c r="T35" s="191">
        <f t="shared" si="24"/>
        <v>96.8</v>
      </c>
      <c r="U35" s="189">
        <f t="shared" ref="U35:U41" si="44">AQ35/12*11</f>
        <v>231</v>
      </c>
      <c r="V35" s="189">
        <f>[3]ШАР!$K$130</f>
        <v>252</v>
      </c>
      <c r="W35" s="191">
        <f>ROUND(V35/U35*100,1)</f>
        <v>109.1</v>
      </c>
      <c r="X35" s="222">
        <v>109363</v>
      </c>
      <c r="Y35" s="299">
        <v>41444</v>
      </c>
      <c r="Z35" s="308">
        <v>49.53</v>
      </c>
      <c r="AA35" s="309">
        <v>17000</v>
      </c>
      <c r="AB35" s="299">
        <v>4718</v>
      </c>
      <c r="AC35" s="299">
        <v>48.59</v>
      </c>
      <c r="AD35" s="310">
        <v>10000</v>
      </c>
      <c r="AE35" s="299">
        <v>1706</v>
      </c>
      <c r="AF35" s="331">
        <v>51.72</v>
      </c>
      <c r="AG35" s="312">
        <v>154738</v>
      </c>
      <c r="AH35" s="299">
        <v>125354</v>
      </c>
      <c r="AI35" s="299">
        <v>51.72</v>
      </c>
      <c r="AJ35" s="313">
        <v>62853</v>
      </c>
      <c r="AK35" s="299">
        <v>12086</v>
      </c>
      <c r="AL35" s="331">
        <v>51.72</v>
      </c>
      <c r="AM35" s="314">
        <v>13806</v>
      </c>
      <c r="AN35" s="299">
        <v>5830</v>
      </c>
      <c r="AO35" s="311">
        <f>40.64+5.56</f>
        <v>46.2</v>
      </c>
      <c r="AP35" s="324">
        <v>331</v>
      </c>
      <c r="AQ35" s="299">
        <v>252</v>
      </c>
      <c r="AR35" s="225">
        <v>51.72</v>
      </c>
      <c r="AS35">
        <f t="shared" si="27"/>
        <v>8053.5</v>
      </c>
      <c r="AT35">
        <f t="shared" si="28"/>
        <v>64.257776122182904</v>
      </c>
    </row>
    <row r="36" spans="1:46" ht="15" customHeight="1" x14ac:dyDescent="0.2">
      <c r="A36" s="67">
        <v>27</v>
      </c>
      <c r="B36" s="67" t="s">
        <v>236</v>
      </c>
      <c r="C36" s="189">
        <f t="shared" si="38"/>
        <v>1741.6666666666667</v>
      </c>
      <c r="D36" s="189">
        <f>[3]РОЖД!$C$130</f>
        <v>1325</v>
      </c>
      <c r="E36" s="190">
        <f t="shared" si="16"/>
        <v>76.076555023923447</v>
      </c>
      <c r="F36" s="189">
        <f t="shared" si="39"/>
        <v>3910.5</v>
      </c>
      <c r="G36" s="189">
        <f>[3]РОЖД!$O$130</f>
        <v>3515</v>
      </c>
      <c r="H36" s="191">
        <f t="shared" ref="H36:H42" si="45">ROUND(G36/F36*100,1)</f>
        <v>89.9</v>
      </c>
      <c r="I36" s="189">
        <f t="shared" si="40"/>
        <v>1032.1666666666665</v>
      </c>
      <c r="J36" s="189">
        <f>[3]РОЖД!$W$130</f>
        <v>742</v>
      </c>
      <c r="K36" s="191">
        <f t="shared" si="20"/>
        <v>71.900000000000006</v>
      </c>
      <c r="L36" s="189">
        <f t="shared" si="41"/>
        <v>11630.666666666666</v>
      </c>
      <c r="M36" s="189">
        <f>[3]РОЖД!$S$130</f>
        <v>12660.749999999998</v>
      </c>
      <c r="N36" s="191">
        <f t="shared" si="13"/>
        <v>108.9</v>
      </c>
      <c r="O36" s="189">
        <f t="shared" si="42"/>
        <v>2486.916666666667</v>
      </c>
      <c r="P36" s="189">
        <f>[3]РОЖД!$AA$130</f>
        <v>2317</v>
      </c>
      <c r="Q36" s="191">
        <f t="shared" si="2"/>
        <v>93.2</v>
      </c>
      <c r="R36" s="189">
        <f t="shared" si="43"/>
        <v>522.5</v>
      </c>
      <c r="S36" s="189">
        <f>[3]РОЖД!$G$130</f>
        <v>429</v>
      </c>
      <c r="T36" s="191">
        <f t="shared" si="24"/>
        <v>82.1</v>
      </c>
      <c r="U36" s="189">
        <f t="shared" si="44"/>
        <v>0</v>
      </c>
      <c r="V36" s="189"/>
      <c r="W36" s="191"/>
      <c r="X36" s="222">
        <v>3200</v>
      </c>
      <c r="Y36" s="299">
        <v>1900</v>
      </c>
      <c r="Z36" s="308">
        <v>51.76</v>
      </c>
      <c r="AA36" s="309">
        <v>10500</v>
      </c>
      <c r="AB36" s="299">
        <v>4266</v>
      </c>
      <c r="AC36" s="299">
        <v>36.590000000000003</v>
      </c>
      <c r="AD36" s="310">
        <v>5444</v>
      </c>
      <c r="AE36" s="299">
        <v>1126</v>
      </c>
      <c r="AF36" s="331">
        <v>38.26</v>
      </c>
      <c r="AG36" s="312">
        <v>23733</v>
      </c>
      <c r="AH36" s="299">
        <v>12688</v>
      </c>
      <c r="AI36" s="299">
        <v>38.26</v>
      </c>
      <c r="AJ36" s="313">
        <v>12598</v>
      </c>
      <c r="AK36" s="299">
        <v>2713</v>
      </c>
      <c r="AL36" s="331">
        <v>38.26</v>
      </c>
      <c r="AM36" s="314">
        <v>1126</v>
      </c>
      <c r="AN36" s="299">
        <v>570</v>
      </c>
      <c r="AO36" s="311">
        <f>37.9+5.37</f>
        <v>43.269999999999996</v>
      </c>
      <c r="AP36" s="324"/>
      <c r="AQ36" s="299">
        <f t="shared" si="26"/>
        <v>0</v>
      </c>
      <c r="AR36" s="225">
        <v>38.26</v>
      </c>
      <c r="AS36">
        <f t="shared" si="27"/>
        <v>656.83333333333326</v>
      </c>
      <c r="AT36">
        <f t="shared" si="28"/>
        <v>65.313372240548091</v>
      </c>
    </row>
    <row r="37" spans="1:46" ht="15" customHeight="1" x14ac:dyDescent="0.2">
      <c r="A37" s="66">
        <v>28</v>
      </c>
      <c r="B37" s="68" t="s">
        <v>237</v>
      </c>
      <c r="C37" s="189">
        <f t="shared" si="38"/>
        <v>2523.583333333333</v>
      </c>
      <c r="D37" s="189">
        <f>[3]ПОНАЗ!$C$130</f>
        <v>1873</v>
      </c>
      <c r="E37" s="190">
        <f t="shared" si="16"/>
        <v>74.219859327015172</v>
      </c>
      <c r="F37" s="189">
        <f t="shared" si="39"/>
        <v>3442.0833333333335</v>
      </c>
      <c r="G37" s="189">
        <f>[3]ПОНАЗ!$O$130</f>
        <v>2804</v>
      </c>
      <c r="H37" s="191">
        <f t="shared" si="45"/>
        <v>81.5</v>
      </c>
      <c r="I37" s="189">
        <f t="shared" si="40"/>
        <v>1810.4166666666667</v>
      </c>
      <c r="J37" s="189">
        <f>[3]ПОНАЗ!$W$130</f>
        <v>743</v>
      </c>
      <c r="K37" s="191">
        <f t="shared" si="20"/>
        <v>41</v>
      </c>
      <c r="L37" s="189">
        <f t="shared" si="41"/>
        <v>20918.333333333336</v>
      </c>
      <c r="M37" s="189">
        <f>[3]ПОНАЗ!$S$130</f>
        <v>19790.7</v>
      </c>
      <c r="N37" s="191">
        <f t="shared" si="13"/>
        <v>94.6</v>
      </c>
      <c r="O37" s="189">
        <f t="shared" si="42"/>
        <v>3572.25</v>
      </c>
      <c r="P37" s="189">
        <f>[3]ПОНАЗ!$AA$130</f>
        <v>2875</v>
      </c>
      <c r="Q37" s="191">
        <f t="shared" si="2"/>
        <v>80.5</v>
      </c>
      <c r="R37" s="189">
        <f t="shared" si="43"/>
        <v>1441.9166666666667</v>
      </c>
      <c r="S37" s="189">
        <f>[3]ПОНАЗ!$G$130</f>
        <v>1317</v>
      </c>
      <c r="T37" s="191">
        <f t="shared" si="24"/>
        <v>91.3</v>
      </c>
      <c r="U37" s="189">
        <f t="shared" si="44"/>
        <v>0</v>
      </c>
      <c r="V37" s="189"/>
      <c r="W37" s="191"/>
      <c r="X37" s="222">
        <v>3420</v>
      </c>
      <c r="Y37" s="299">
        <v>2753</v>
      </c>
      <c r="Z37" s="308">
        <v>70.84</v>
      </c>
      <c r="AA37" s="309">
        <v>5000</v>
      </c>
      <c r="AB37" s="299">
        <v>3755</v>
      </c>
      <c r="AC37" s="299">
        <v>59.91</v>
      </c>
      <c r="AD37" s="310">
        <v>1000</v>
      </c>
      <c r="AE37" s="299">
        <v>1975</v>
      </c>
      <c r="AF37" s="331">
        <v>63.12</v>
      </c>
      <c r="AG37" s="312">
        <v>21612</v>
      </c>
      <c r="AH37" s="299">
        <v>22820</v>
      </c>
      <c r="AI37" s="299">
        <v>63.12</v>
      </c>
      <c r="AJ37" s="313">
        <v>12524</v>
      </c>
      <c r="AK37" s="299">
        <v>3897</v>
      </c>
      <c r="AL37" s="331">
        <v>63.12</v>
      </c>
      <c r="AM37" s="314">
        <v>2529</v>
      </c>
      <c r="AN37" s="299">
        <v>1573</v>
      </c>
      <c r="AO37" s="311">
        <f>58.63+1.16</f>
        <v>59.79</v>
      </c>
      <c r="AP37" s="324"/>
      <c r="AQ37" s="299">
        <f t="shared" si="26"/>
        <v>0</v>
      </c>
      <c r="AR37" s="225">
        <v>63.12</v>
      </c>
      <c r="AS37">
        <f t="shared" si="27"/>
        <v>1475.25</v>
      </c>
      <c r="AT37">
        <f t="shared" si="28"/>
        <v>89.273004575495676</v>
      </c>
    </row>
    <row r="38" spans="1:46" ht="15" customHeight="1" x14ac:dyDescent="0.2">
      <c r="A38" s="66">
        <v>29</v>
      </c>
      <c r="B38" s="67" t="s">
        <v>238</v>
      </c>
      <c r="C38" s="189">
        <f t="shared" si="38"/>
        <v>981.75</v>
      </c>
      <c r="D38" s="189">
        <f>[2]пыщ!$C$130</f>
        <v>774</v>
      </c>
      <c r="E38" s="190">
        <f t="shared" si="16"/>
        <v>78.838808250572953</v>
      </c>
      <c r="F38" s="189">
        <f t="shared" si="39"/>
        <v>1635.3333333333333</v>
      </c>
      <c r="G38" s="189">
        <f>[2]пыщ!$O$130</f>
        <v>1245</v>
      </c>
      <c r="H38" s="191">
        <f t="shared" si="45"/>
        <v>76.099999999999994</v>
      </c>
      <c r="I38" s="189">
        <f t="shared" si="40"/>
        <v>553.66666666666674</v>
      </c>
      <c r="J38" s="189">
        <f>[2]пыщ!$W$130</f>
        <v>160</v>
      </c>
      <c r="K38" s="191">
        <f t="shared" si="20"/>
        <v>28.9</v>
      </c>
      <c r="L38" s="189">
        <f t="shared" si="41"/>
        <v>7248.083333333333</v>
      </c>
      <c r="M38" s="189">
        <f>[2]пыщ!$S$130</f>
        <v>6949.76</v>
      </c>
      <c r="N38" s="191">
        <f t="shared" si="13"/>
        <v>95.9</v>
      </c>
      <c r="O38" s="189">
        <f t="shared" si="42"/>
        <v>1441.9166666666667</v>
      </c>
      <c r="P38" s="189">
        <f>[2]пыщ!$AA$130</f>
        <v>1231</v>
      </c>
      <c r="Q38" s="191">
        <f t="shared" si="2"/>
        <v>85.4</v>
      </c>
      <c r="R38" s="189">
        <f t="shared" si="43"/>
        <v>502.33333333333331</v>
      </c>
      <c r="S38" s="189">
        <f>[2]пыщ!$G$130</f>
        <v>438</v>
      </c>
      <c r="T38" s="191">
        <f t="shared" si="24"/>
        <v>87.2</v>
      </c>
      <c r="U38" s="189">
        <f t="shared" si="44"/>
        <v>0</v>
      </c>
      <c r="V38" s="189"/>
      <c r="W38" s="191"/>
      <c r="X38" s="222">
        <v>2880</v>
      </c>
      <c r="Y38" s="299">
        <v>1071</v>
      </c>
      <c r="Z38" s="308">
        <v>45.52</v>
      </c>
      <c r="AA38" s="309">
        <v>5000</v>
      </c>
      <c r="AB38" s="299">
        <v>1784</v>
      </c>
      <c r="AC38" s="299">
        <v>35.96</v>
      </c>
      <c r="AD38" s="310">
        <v>1000</v>
      </c>
      <c r="AE38" s="299">
        <v>604</v>
      </c>
      <c r="AF38" s="331">
        <v>34</v>
      </c>
      <c r="AG38" s="312">
        <v>17324</v>
      </c>
      <c r="AH38" s="299">
        <v>7907</v>
      </c>
      <c r="AI38" s="299">
        <v>34</v>
      </c>
      <c r="AJ38" s="313">
        <v>8741</v>
      </c>
      <c r="AK38" s="299">
        <v>1573</v>
      </c>
      <c r="AL38" s="331">
        <v>34</v>
      </c>
      <c r="AM38" s="314">
        <v>910</v>
      </c>
      <c r="AN38" s="299">
        <v>548</v>
      </c>
      <c r="AO38" s="311">
        <f>55.38-22.38</f>
        <v>33</v>
      </c>
      <c r="AP38" s="324"/>
      <c r="AQ38" s="299">
        <f t="shared" si="26"/>
        <v>0</v>
      </c>
      <c r="AR38" s="225">
        <v>34</v>
      </c>
      <c r="AS38">
        <f t="shared" si="27"/>
        <v>530.83333333333326</v>
      </c>
      <c r="AT38">
        <f t="shared" si="28"/>
        <v>82.511773940345378</v>
      </c>
    </row>
    <row r="39" spans="1:46" ht="15" customHeight="1" x14ac:dyDescent="0.2">
      <c r="A39" s="66">
        <v>30</v>
      </c>
      <c r="B39" s="67" t="s">
        <v>239</v>
      </c>
      <c r="C39" s="189">
        <f t="shared" si="38"/>
        <v>308</v>
      </c>
      <c r="D39" s="189">
        <f>[2]пав!$C$130</f>
        <v>215</v>
      </c>
      <c r="E39" s="190">
        <f t="shared" si="16"/>
        <v>69.805194805194802</v>
      </c>
      <c r="F39" s="189">
        <f t="shared" si="39"/>
        <v>314.41666666666663</v>
      </c>
      <c r="G39" s="189">
        <f>[2]пав!$O$130</f>
        <v>247</v>
      </c>
      <c r="H39" s="191">
        <f t="shared" si="45"/>
        <v>78.599999999999994</v>
      </c>
      <c r="I39" s="189">
        <f t="shared" si="40"/>
        <v>101.75</v>
      </c>
      <c r="J39" s="189">
        <f>[2]пав!$W$130</f>
        <v>45</v>
      </c>
      <c r="K39" s="191">
        <f t="shared" si="20"/>
        <v>44.2</v>
      </c>
      <c r="L39" s="189">
        <f t="shared" si="41"/>
        <v>1372.25</v>
      </c>
      <c r="M39" s="189">
        <f>[2]пав!$S$130</f>
        <v>1356.05</v>
      </c>
      <c r="N39" s="191">
        <f t="shared" si="13"/>
        <v>98.8</v>
      </c>
      <c r="O39" s="189">
        <f t="shared" si="42"/>
        <v>620.58333333333326</v>
      </c>
      <c r="P39" s="189">
        <f>[2]пав!$AA$130</f>
        <v>482</v>
      </c>
      <c r="Q39" s="191">
        <f t="shared" si="2"/>
        <v>77.7</v>
      </c>
      <c r="R39" s="189">
        <f t="shared" si="43"/>
        <v>129.25</v>
      </c>
      <c r="S39" s="189">
        <f>[2]пав!$G$130</f>
        <v>105</v>
      </c>
      <c r="T39" s="191">
        <f t="shared" si="24"/>
        <v>81.2</v>
      </c>
      <c r="U39" s="189">
        <f t="shared" si="44"/>
        <v>0</v>
      </c>
      <c r="V39" s="189"/>
      <c r="W39" s="191"/>
      <c r="X39" s="222">
        <v>2560</v>
      </c>
      <c r="Y39" s="299">
        <v>336</v>
      </c>
      <c r="Z39" s="308">
        <v>26.11</v>
      </c>
      <c r="AA39" s="309">
        <v>4500</v>
      </c>
      <c r="AB39" s="299">
        <v>343</v>
      </c>
      <c r="AC39" s="299">
        <v>13.34</v>
      </c>
      <c r="AD39" s="310">
        <v>921</v>
      </c>
      <c r="AE39" s="299">
        <v>111</v>
      </c>
      <c r="AF39" s="331">
        <v>20.62</v>
      </c>
      <c r="AG39" s="312">
        <v>10797</v>
      </c>
      <c r="AH39" s="299">
        <v>1497</v>
      </c>
      <c r="AI39" s="299">
        <v>20.62</v>
      </c>
      <c r="AJ39" s="313">
        <v>8421</v>
      </c>
      <c r="AK39" s="299">
        <v>677</v>
      </c>
      <c r="AL39" s="331">
        <v>20.62</v>
      </c>
      <c r="AM39" s="314">
        <v>1520</v>
      </c>
      <c r="AN39" s="299">
        <v>141</v>
      </c>
      <c r="AO39" s="311">
        <f>6.31-2.78</f>
        <v>3.53</v>
      </c>
      <c r="AP39" s="324"/>
      <c r="AQ39" s="299">
        <f t="shared" si="26"/>
        <v>0</v>
      </c>
      <c r="AR39" s="225">
        <v>20.62</v>
      </c>
      <c r="AS39">
        <f t="shared" si="27"/>
        <v>886.66666666666674</v>
      </c>
      <c r="AT39">
        <f t="shared" si="28"/>
        <v>11.842105263157894</v>
      </c>
    </row>
    <row r="40" spans="1:46" ht="15" customHeight="1" x14ac:dyDescent="0.2">
      <c r="A40" s="66">
        <v>31</v>
      </c>
      <c r="B40" s="67" t="s">
        <v>240</v>
      </c>
      <c r="C40" s="189">
        <f t="shared" si="38"/>
        <v>9262</v>
      </c>
      <c r="D40" s="189">
        <f>[4]вохма!$C$130</f>
        <v>8640</v>
      </c>
      <c r="E40" s="190">
        <f t="shared" si="16"/>
        <v>93.28438782120493</v>
      </c>
      <c r="F40" s="189">
        <f t="shared" si="39"/>
        <v>6049.083333333333</v>
      </c>
      <c r="G40" s="189">
        <f>[4]вохма!$O$130</f>
        <v>5080</v>
      </c>
      <c r="H40" s="191">
        <f t="shared" si="45"/>
        <v>84</v>
      </c>
      <c r="I40" s="189">
        <f t="shared" si="40"/>
        <v>1212.75</v>
      </c>
      <c r="J40" s="189">
        <f>[4]вохма!$W$130</f>
        <v>469</v>
      </c>
      <c r="K40" s="191">
        <f t="shared" si="20"/>
        <v>38.700000000000003</v>
      </c>
      <c r="L40" s="189">
        <f t="shared" si="41"/>
        <v>25359.583333333332</v>
      </c>
      <c r="M40" s="189">
        <f>[4]вохма!$S$130</f>
        <v>24643.57</v>
      </c>
      <c r="N40" s="191">
        <f t="shared" si="13"/>
        <v>97.2</v>
      </c>
      <c r="O40" s="189">
        <f t="shared" si="42"/>
        <v>5462.4166666666661</v>
      </c>
      <c r="P40" s="189">
        <f>[4]вохма!$AA$130</f>
        <v>4535</v>
      </c>
      <c r="Q40" s="191">
        <f t="shared" si="2"/>
        <v>83</v>
      </c>
      <c r="R40" s="189">
        <f t="shared" si="43"/>
        <v>2014.8333333333333</v>
      </c>
      <c r="S40" s="261">
        <f>[4]вохма!$G$130</f>
        <v>1859</v>
      </c>
      <c r="T40" s="191">
        <f t="shared" si="24"/>
        <v>92.3</v>
      </c>
      <c r="U40" s="189">
        <f t="shared" si="44"/>
        <v>0</v>
      </c>
      <c r="V40" s="189"/>
      <c r="W40" s="191"/>
      <c r="X40" s="222">
        <v>14500</v>
      </c>
      <c r="Y40" s="299">
        <v>10104</v>
      </c>
      <c r="Z40" s="308">
        <v>68.05</v>
      </c>
      <c r="AA40" s="309">
        <v>7500</v>
      </c>
      <c r="AB40" s="299">
        <v>6599</v>
      </c>
      <c r="AC40" s="299">
        <v>66.989999999999995</v>
      </c>
      <c r="AD40" s="310">
        <v>3444</v>
      </c>
      <c r="AE40" s="299">
        <v>1323</v>
      </c>
      <c r="AF40" s="331">
        <v>69.33</v>
      </c>
      <c r="AG40" s="312">
        <v>28853</v>
      </c>
      <c r="AH40" s="299">
        <v>27665</v>
      </c>
      <c r="AI40" s="299">
        <v>69.33</v>
      </c>
      <c r="AJ40" s="313">
        <v>11983</v>
      </c>
      <c r="AK40" s="299">
        <v>5959</v>
      </c>
      <c r="AL40" s="331">
        <v>69.33</v>
      </c>
      <c r="AM40" s="314">
        <v>3009</v>
      </c>
      <c r="AN40" s="299">
        <v>2198</v>
      </c>
      <c r="AO40" s="311">
        <f>69.62+0.27</f>
        <v>69.89</v>
      </c>
      <c r="AP40" s="324"/>
      <c r="AQ40" s="299">
        <f t="shared" si="26"/>
        <v>0</v>
      </c>
      <c r="AR40" s="225">
        <v>69.33</v>
      </c>
      <c r="AS40">
        <f t="shared" si="27"/>
        <v>1755.25</v>
      </c>
      <c r="AT40">
        <f t="shared" si="28"/>
        <v>105.91083891183592</v>
      </c>
    </row>
    <row r="41" spans="1:46" ht="15" customHeight="1" x14ac:dyDescent="0.2">
      <c r="A41" s="66">
        <v>32</v>
      </c>
      <c r="B41" s="67" t="s">
        <v>241</v>
      </c>
      <c r="C41" s="189">
        <f t="shared" si="38"/>
        <v>347.41666666666663</v>
      </c>
      <c r="D41" s="189">
        <f>[4]богов!$C$130</f>
        <v>282</v>
      </c>
      <c r="E41" s="190">
        <f t="shared" si="16"/>
        <v>81.170544495082765</v>
      </c>
      <c r="F41" s="189">
        <f t="shared" si="39"/>
        <v>803</v>
      </c>
      <c r="G41" s="189">
        <f>[4]богов!$O$130</f>
        <v>647</v>
      </c>
      <c r="H41" s="191">
        <f t="shared" si="45"/>
        <v>80.599999999999994</v>
      </c>
      <c r="I41" s="189">
        <f t="shared" si="40"/>
        <v>580.25</v>
      </c>
      <c r="J41" s="189">
        <f>[4]богов!$W$130</f>
        <v>302</v>
      </c>
      <c r="K41" s="191">
        <f t="shared" si="20"/>
        <v>52</v>
      </c>
      <c r="L41" s="189">
        <f t="shared" si="41"/>
        <v>8691.8333333333321</v>
      </c>
      <c r="M41" s="189">
        <f>[4]богов!$S$130</f>
        <v>8047.119999999999</v>
      </c>
      <c r="N41" s="191">
        <f t="shared" si="13"/>
        <v>92.6</v>
      </c>
      <c r="O41" s="189">
        <f t="shared" si="42"/>
        <v>892.83333333333337</v>
      </c>
      <c r="P41" s="189">
        <f>[4]богов!$AA$130</f>
        <v>724</v>
      </c>
      <c r="Q41" s="191">
        <f t="shared" si="2"/>
        <v>81.099999999999994</v>
      </c>
      <c r="R41" s="189">
        <f t="shared" si="43"/>
        <v>221.83333333333334</v>
      </c>
      <c r="S41" s="261">
        <f>[4]богов!$G$130</f>
        <v>210</v>
      </c>
      <c r="T41" s="191">
        <f t="shared" si="24"/>
        <v>94.7</v>
      </c>
      <c r="U41" s="189">
        <f t="shared" si="44"/>
        <v>0</v>
      </c>
      <c r="V41" s="189"/>
      <c r="W41" s="191"/>
      <c r="X41" s="222">
        <v>2880</v>
      </c>
      <c r="Y41" s="299">
        <v>379</v>
      </c>
      <c r="Z41" s="308">
        <v>18.82</v>
      </c>
      <c r="AA41" s="309">
        <v>5200</v>
      </c>
      <c r="AB41" s="299">
        <v>876</v>
      </c>
      <c r="AC41" s="299">
        <v>20.37</v>
      </c>
      <c r="AD41" s="310">
        <v>2557</v>
      </c>
      <c r="AE41" s="299">
        <v>633</v>
      </c>
      <c r="AF41" s="331">
        <v>25.7</v>
      </c>
      <c r="AG41" s="312">
        <v>37518</v>
      </c>
      <c r="AH41" s="299">
        <v>9482</v>
      </c>
      <c r="AI41" s="299">
        <v>25.7</v>
      </c>
      <c r="AJ41" s="313">
        <v>6949</v>
      </c>
      <c r="AK41" s="299">
        <v>974</v>
      </c>
      <c r="AL41" s="331">
        <v>25.7</v>
      </c>
      <c r="AM41" s="314">
        <v>1400</v>
      </c>
      <c r="AN41" s="299">
        <v>242</v>
      </c>
      <c r="AO41" s="311">
        <f>14.69+3.28</f>
        <v>17.97</v>
      </c>
      <c r="AP41" s="324"/>
      <c r="AQ41" s="299">
        <f t="shared" si="26"/>
        <v>0</v>
      </c>
      <c r="AR41" s="225">
        <v>25.7</v>
      </c>
      <c r="AS41">
        <f t="shared" si="27"/>
        <v>816.66666666666674</v>
      </c>
      <c r="AT41">
        <f t="shared" si="28"/>
        <v>25.714285714285712</v>
      </c>
    </row>
    <row r="42" spans="1:46" ht="15" customHeight="1" x14ac:dyDescent="0.25">
      <c r="A42" s="391" t="s">
        <v>269</v>
      </c>
      <c r="B42" s="392"/>
      <c r="C42" s="194">
        <f>SUM(C43:C48)</f>
        <v>156738.08333333331</v>
      </c>
      <c r="D42" s="194">
        <f>SUM(D43:D48)</f>
        <v>153832</v>
      </c>
      <c r="E42" s="187">
        <f>D42/C42*100</f>
        <v>98.145898385682699</v>
      </c>
      <c r="F42" s="194">
        <f>SUM(F43:F48)</f>
        <v>47099.25</v>
      </c>
      <c r="G42" s="194">
        <f>SUM(G43:G48)</f>
        <v>41535</v>
      </c>
      <c r="H42" s="188">
        <f t="shared" si="45"/>
        <v>88.2</v>
      </c>
      <c r="I42" s="194">
        <f>SUM(I43:I48)</f>
        <v>25784</v>
      </c>
      <c r="J42" s="194">
        <f>SUM(J43:J48)</f>
        <v>23523</v>
      </c>
      <c r="K42" s="188">
        <f t="shared" si="20"/>
        <v>91.2</v>
      </c>
      <c r="L42" s="194">
        <f>SUM(L43:L48)</f>
        <v>507179.75</v>
      </c>
      <c r="M42" s="194">
        <f>SUM(M43:M48)</f>
        <v>500878.14</v>
      </c>
      <c r="N42" s="188">
        <f>ROUND(M42/L42*100,1)</f>
        <v>98.8</v>
      </c>
      <c r="O42" s="194">
        <f>SUM(O43:O48)</f>
        <v>93478</v>
      </c>
      <c r="P42" s="194">
        <f>SUM(P43:P48)</f>
        <v>80911</v>
      </c>
      <c r="Q42" s="194">
        <f>SUM(Q43:Q48)</f>
        <v>187.2</v>
      </c>
      <c r="R42" s="194">
        <f>SUM(R43:R48)</f>
        <v>33116.416666666672</v>
      </c>
      <c r="S42" s="194">
        <f>SUM(S43:S48)</f>
        <v>32541</v>
      </c>
      <c r="T42" s="188">
        <f t="shared" si="24"/>
        <v>98.3</v>
      </c>
      <c r="U42" s="194">
        <f t="shared" ref="U42:AR42" si="46">SUM(U43:U48)</f>
        <v>4362.4166666666661</v>
      </c>
      <c r="V42" s="194">
        <f t="shared" si="46"/>
        <v>4759</v>
      </c>
      <c r="W42" s="194">
        <f t="shared" si="46"/>
        <v>109.1</v>
      </c>
      <c r="X42" s="194">
        <f t="shared" si="46"/>
        <v>378032</v>
      </c>
      <c r="Y42" s="194">
        <f t="shared" si="46"/>
        <v>170987</v>
      </c>
      <c r="Z42" s="194">
        <f t="shared" si="46"/>
        <v>140.73000000000002</v>
      </c>
      <c r="AA42" s="194">
        <f t="shared" si="46"/>
        <v>141350</v>
      </c>
      <c r="AB42" s="241">
        <f t="shared" si="46"/>
        <v>51381</v>
      </c>
      <c r="AC42" s="194">
        <f t="shared" si="46"/>
        <v>182.98000000000002</v>
      </c>
      <c r="AD42" s="194">
        <f t="shared" si="46"/>
        <v>119480</v>
      </c>
      <c r="AE42" s="194">
        <f t="shared" si="46"/>
        <v>28128</v>
      </c>
      <c r="AF42" s="194">
        <f t="shared" si="46"/>
        <v>253.82</v>
      </c>
      <c r="AG42" s="194">
        <f t="shared" si="46"/>
        <v>840670</v>
      </c>
      <c r="AH42" s="194">
        <f t="shared" si="46"/>
        <v>553287</v>
      </c>
      <c r="AI42" s="194">
        <f t="shared" si="46"/>
        <v>253.82</v>
      </c>
      <c r="AJ42" s="194">
        <f t="shared" si="46"/>
        <v>304128</v>
      </c>
      <c r="AK42" s="194">
        <f t="shared" si="46"/>
        <v>101976</v>
      </c>
      <c r="AL42" s="194">
        <f t="shared" si="46"/>
        <v>253.82</v>
      </c>
      <c r="AM42" s="194">
        <f t="shared" si="46"/>
        <v>63713</v>
      </c>
      <c r="AN42" s="194">
        <f t="shared" si="46"/>
        <v>36127</v>
      </c>
      <c r="AO42" s="194">
        <f t="shared" si="46"/>
        <v>308.08</v>
      </c>
      <c r="AP42" s="194">
        <f t="shared" si="46"/>
        <v>7600</v>
      </c>
      <c r="AQ42" s="194">
        <f t="shared" si="46"/>
        <v>4759</v>
      </c>
      <c r="AR42" s="194">
        <f t="shared" si="46"/>
        <v>253.82</v>
      </c>
      <c r="AS42">
        <f t="shared" si="27"/>
        <v>37165.916666666672</v>
      </c>
      <c r="AT42">
        <f t="shared" si="28"/>
        <v>87.556026915341334</v>
      </c>
    </row>
    <row r="43" spans="1:46" ht="15" customHeight="1" x14ac:dyDescent="0.2">
      <c r="A43" s="66">
        <v>33</v>
      </c>
      <c r="B43" s="67" t="s">
        <v>208</v>
      </c>
      <c r="C43" s="189">
        <f t="shared" ref="C43:C48" si="47">Y43/12*11</f>
        <v>11105.416666666668</v>
      </c>
      <c r="D43" s="189">
        <f>[4]роддом!$C$130</f>
        <v>11084</v>
      </c>
      <c r="E43" s="190">
        <f t="shared" si="16"/>
        <v>99.807151164972041</v>
      </c>
      <c r="F43" s="189">
        <f t="shared" ref="F43:F48" si="48">AB43/12*11</f>
        <v>1985.5</v>
      </c>
      <c r="G43" s="189">
        <f>[4]роддом!$O$130</f>
        <v>1492</v>
      </c>
      <c r="H43" s="191">
        <f>ROUND(G43/F43*100,1)</f>
        <v>75.099999999999994</v>
      </c>
      <c r="I43" s="189">
        <f t="shared" ref="I43:I48" si="49">AE43/12*11</f>
        <v>0</v>
      </c>
      <c r="J43" s="189">
        <f>[4]роддом!$W$130</f>
        <v>0</v>
      </c>
      <c r="K43" s="191" t="e">
        <f t="shared" si="20"/>
        <v>#DIV/0!</v>
      </c>
      <c r="L43" s="189">
        <f t="shared" ref="L43:L48" si="50">AH43/12*11</f>
        <v>16359.75</v>
      </c>
      <c r="M43" s="189">
        <f>[4]роддом!$S$130</f>
        <v>15857.35</v>
      </c>
      <c r="N43" s="191">
        <f t="shared" si="13"/>
        <v>96.9</v>
      </c>
      <c r="O43" s="189">
        <f t="shared" ref="O43:O48" si="51">AK43/12*11</f>
        <v>0</v>
      </c>
      <c r="P43" s="189">
        <f>[4]роддом!$AA$130</f>
        <v>0</v>
      </c>
      <c r="Q43" s="191"/>
      <c r="R43" s="189">
        <f t="shared" ref="R43:R48" si="52">AN43/12*11</f>
        <v>0</v>
      </c>
      <c r="S43" s="261">
        <f>[4]роддом!$G$130</f>
        <v>0</v>
      </c>
      <c r="T43" s="191"/>
      <c r="U43" s="189">
        <f t="shared" ref="U43:U48" si="53">AQ43/12*11</f>
        <v>0</v>
      </c>
      <c r="V43" s="189"/>
      <c r="W43" s="191"/>
      <c r="X43" s="222">
        <v>43000</v>
      </c>
      <c r="Y43" s="299">
        <v>12115</v>
      </c>
      <c r="Z43" s="308">
        <v>26.84</v>
      </c>
      <c r="AA43" s="309">
        <v>8400</v>
      </c>
      <c r="AB43" s="299">
        <v>2166</v>
      </c>
      <c r="AC43" s="299">
        <v>20.190000000000001</v>
      </c>
      <c r="AD43" s="310">
        <v>2500</v>
      </c>
      <c r="AE43" s="299">
        <v>0</v>
      </c>
      <c r="AF43" s="331">
        <v>26.32</v>
      </c>
      <c r="AG43" s="312">
        <v>44638</v>
      </c>
      <c r="AH43" s="299">
        <v>17847</v>
      </c>
      <c r="AI43" s="299">
        <v>26.32</v>
      </c>
      <c r="AJ43" s="313">
        <v>750</v>
      </c>
      <c r="AK43" s="299">
        <v>0</v>
      </c>
      <c r="AL43" s="331">
        <v>26.32</v>
      </c>
      <c r="AM43" s="314"/>
      <c r="AN43" s="299">
        <f>VALUE(AM43*AO43/100)</f>
        <v>0</v>
      </c>
      <c r="AO43" s="311">
        <v>26.32</v>
      </c>
      <c r="AP43" s="324"/>
      <c r="AQ43" s="299">
        <f t="shared" si="26"/>
        <v>0</v>
      </c>
      <c r="AR43" s="225">
        <v>26.32</v>
      </c>
      <c r="AS43">
        <f t="shared" si="27"/>
        <v>0</v>
      </c>
    </row>
    <row r="44" spans="1:46" ht="15" customHeight="1" x14ac:dyDescent="0.2">
      <c r="A44" s="66">
        <v>34</v>
      </c>
      <c r="B44" s="67" t="s">
        <v>209</v>
      </c>
      <c r="C44" s="189">
        <f t="shared" si="47"/>
        <v>44604.083333333328</v>
      </c>
      <c r="D44" s="189">
        <f>[2]муз1!$C$130</f>
        <v>43340</v>
      </c>
      <c r="E44" s="190">
        <f t="shared" si="16"/>
        <v>97.165991902834008</v>
      </c>
      <c r="F44" s="189">
        <f t="shared" si="48"/>
        <v>26017.75</v>
      </c>
      <c r="G44" s="189">
        <f>[2]муз1!$O$130</f>
        <v>22252</v>
      </c>
      <c r="H44" s="191">
        <f>ROUND(G44/F44*100,1)</f>
        <v>85.5</v>
      </c>
      <c r="I44" s="189">
        <f t="shared" si="49"/>
        <v>18042.75</v>
      </c>
      <c r="J44" s="189">
        <f>[2]муз1!$W$130</f>
        <v>16930</v>
      </c>
      <c r="K44" s="191">
        <f t="shared" si="20"/>
        <v>93.8</v>
      </c>
      <c r="L44" s="189">
        <f t="shared" si="50"/>
        <v>214898.75</v>
      </c>
      <c r="M44" s="189">
        <f>[2]муз1!$S$130</f>
        <v>205115</v>
      </c>
      <c r="N44" s="191">
        <f t="shared" si="13"/>
        <v>95.4</v>
      </c>
      <c r="O44" s="189">
        <f t="shared" si="51"/>
        <v>37030.583333333328</v>
      </c>
      <c r="P44" s="189">
        <f>[2]муз1!$AA$130</f>
        <v>34393</v>
      </c>
      <c r="Q44" s="191">
        <f t="shared" si="2"/>
        <v>92.9</v>
      </c>
      <c r="R44" s="189">
        <f t="shared" si="52"/>
        <v>0</v>
      </c>
      <c r="S44" s="189">
        <f>[2]муз1!$G$130</f>
        <v>0</v>
      </c>
      <c r="T44" s="191"/>
      <c r="U44" s="189">
        <f t="shared" si="53"/>
        <v>4362.4166666666661</v>
      </c>
      <c r="V44" s="189">
        <f>[2]муз1!$K$130</f>
        <v>4759</v>
      </c>
      <c r="W44" s="191">
        <f>ROUND(V44/U44*100,1)</f>
        <v>109.1</v>
      </c>
      <c r="X44" s="227">
        <v>103352</v>
      </c>
      <c r="Y44" s="299">
        <v>48659</v>
      </c>
      <c r="Z44" s="308">
        <v>54.92</v>
      </c>
      <c r="AA44" s="309">
        <v>63000</v>
      </c>
      <c r="AB44" s="299">
        <v>28383</v>
      </c>
      <c r="AC44" s="299">
        <v>53.38</v>
      </c>
      <c r="AD44" s="310">
        <v>88261</v>
      </c>
      <c r="AE44" s="299">
        <v>19683</v>
      </c>
      <c r="AF44" s="331">
        <v>62.07</v>
      </c>
      <c r="AG44" s="312">
        <v>317918</v>
      </c>
      <c r="AH44" s="299">
        <v>234435</v>
      </c>
      <c r="AI44" s="299">
        <v>62.07</v>
      </c>
      <c r="AJ44" s="313">
        <v>129370</v>
      </c>
      <c r="AK44" s="299">
        <v>40397</v>
      </c>
      <c r="AL44" s="331">
        <v>62.07</v>
      </c>
      <c r="AM44" s="314"/>
      <c r="AN44" s="299">
        <f>VALUE(AM44*AO44/100)</f>
        <v>0</v>
      </c>
      <c r="AO44" s="311">
        <v>62.07</v>
      </c>
      <c r="AP44" s="324">
        <f>15200-7600</f>
        <v>7600</v>
      </c>
      <c r="AQ44" s="299">
        <v>4759</v>
      </c>
      <c r="AR44" s="225">
        <v>62.07</v>
      </c>
      <c r="AS44">
        <f t="shared" si="27"/>
        <v>0</v>
      </c>
    </row>
    <row r="45" spans="1:46" ht="15" customHeight="1" x14ac:dyDescent="0.2">
      <c r="A45" s="66">
        <v>35</v>
      </c>
      <c r="B45" s="67" t="s">
        <v>210</v>
      </c>
      <c r="C45" s="189">
        <f t="shared" si="47"/>
        <v>101028.58333333333</v>
      </c>
      <c r="D45" s="189">
        <f>'[4]муз2 '!$C$130</f>
        <v>99408</v>
      </c>
      <c r="E45" s="190">
        <f t="shared" si="16"/>
        <v>98.395916007268582</v>
      </c>
      <c r="F45" s="189">
        <f t="shared" si="48"/>
        <v>15182.75</v>
      </c>
      <c r="G45" s="189">
        <f>'[4]муз2 '!$O$130</f>
        <v>14432</v>
      </c>
      <c r="H45" s="191">
        <f>ROUND(G45/F45*100,1)</f>
        <v>95.1</v>
      </c>
      <c r="I45" s="189">
        <f t="shared" si="49"/>
        <v>5046.25</v>
      </c>
      <c r="J45" s="189">
        <f>'[4]муз2 '!$W$130</f>
        <v>4260</v>
      </c>
      <c r="K45" s="191">
        <f t="shared" si="20"/>
        <v>84.4</v>
      </c>
      <c r="L45" s="189">
        <f t="shared" si="50"/>
        <v>177833.33333333331</v>
      </c>
      <c r="M45" s="189">
        <f>'[4]муз2 '!$S$130</f>
        <v>166958.83000000002</v>
      </c>
      <c r="N45" s="191">
        <f t="shared" si="13"/>
        <v>93.9</v>
      </c>
      <c r="O45" s="189">
        <f t="shared" si="51"/>
        <v>42669.916666666672</v>
      </c>
      <c r="P45" s="189">
        <f>'[4]муз2 '!$AA$130</f>
        <v>40444</v>
      </c>
      <c r="Q45" s="191"/>
      <c r="R45" s="189">
        <f t="shared" si="52"/>
        <v>0</v>
      </c>
      <c r="S45" s="189">
        <f>'[4]муз2 '!$G$130</f>
        <v>0</v>
      </c>
      <c r="T45" s="191"/>
      <c r="U45" s="189">
        <f t="shared" si="53"/>
        <v>0</v>
      </c>
      <c r="V45" s="189"/>
      <c r="W45" s="191"/>
      <c r="X45" s="222">
        <v>231680</v>
      </c>
      <c r="Y45" s="299">
        <v>110213</v>
      </c>
      <c r="Z45" s="308">
        <v>58.97</v>
      </c>
      <c r="AA45" s="309">
        <v>52550</v>
      </c>
      <c r="AB45" s="299">
        <v>16563</v>
      </c>
      <c r="AC45" s="299">
        <v>54.51</v>
      </c>
      <c r="AD45" s="310">
        <v>10649</v>
      </c>
      <c r="AE45" s="299">
        <v>5505</v>
      </c>
      <c r="AF45" s="331">
        <v>66.81</v>
      </c>
      <c r="AG45" s="312">
        <v>256109</v>
      </c>
      <c r="AH45" s="299">
        <v>194000</v>
      </c>
      <c r="AI45" s="299">
        <v>66.81</v>
      </c>
      <c r="AJ45" s="313">
        <v>87725</v>
      </c>
      <c r="AK45" s="299">
        <v>46549</v>
      </c>
      <c r="AL45" s="331">
        <v>66.81</v>
      </c>
      <c r="AM45" s="314"/>
      <c r="AN45" s="299">
        <f>VALUE(AM45*AO45/100)</f>
        <v>0</v>
      </c>
      <c r="AO45" s="311">
        <v>66.81</v>
      </c>
      <c r="AP45" s="324"/>
      <c r="AQ45" s="299">
        <f>VALUE(AP45*AR45/100)</f>
        <v>0</v>
      </c>
      <c r="AR45" s="225">
        <v>66.81</v>
      </c>
      <c r="AS45">
        <f t="shared" si="27"/>
        <v>0</v>
      </c>
    </row>
    <row r="46" spans="1:46" ht="15" customHeight="1" x14ac:dyDescent="0.2">
      <c r="A46" s="66">
        <v>36</v>
      </c>
      <c r="B46" s="67" t="s">
        <v>212</v>
      </c>
      <c r="C46" s="189">
        <f t="shared" si="47"/>
        <v>0</v>
      </c>
      <c r="D46" s="189">
        <f>[4]полик4!$C$130</f>
        <v>0</v>
      </c>
      <c r="E46" s="190"/>
      <c r="F46" s="189">
        <f t="shared" si="48"/>
        <v>3913.25</v>
      </c>
      <c r="G46" s="189">
        <f>[4]полик4!$O$130</f>
        <v>3359</v>
      </c>
      <c r="H46" s="191">
        <f>ROUND(G46/F46*100,1)</f>
        <v>85.8</v>
      </c>
      <c r="I46" s="189">
        <f t="shared" si="49"/>
        <v>2695</v>
      </c>
      <c r="J46" s="189">
        <f>[4]полик4!$W$130</f>
        <v>2333</v>
      </c>
      <c r="K46" s="191">
        <f t="shared" si="20"/>
        <v>86.6</v>
      </c>
      <c r="L46" s="189">
        <f t="shared" si="50"/>
        <v>28879.583333333332</v>
      </c>
      <c r="M46" s="189">
        <f>[4]полик4!$S$130</f>
        <v>28763</v>
      </c>
      <c r="N46" s="191">
        <f t="shared" si="13"/>
        <v>99.6</v>
      </c>
      <c r="O46" s="189">
        <f t="shared" si="51"/>
        <v>6444.166666666667</v>
      </c>
      <c r="P46" s="189">
        <f>[4]полик4!$AA$130</f>
        <v>6074</v>
      </c>
      <c r="Q46" s="191">
        <f t="shared" si="2"/>
        <v>94.3</v>
      </c>
      <c r="R46" s="189">
        <f t="shared" si="52"/>
        <v>0</v>
      </c>
      <c r="S46" s="189">
        <f>[4]полик4!$G$130</f>
        <v>0</v>
      </c>
      <c r="T46" s="191"/>
      <c r="U46" s="189">
        <f t="shared" si="53"/>
        <v>0</v>
      </c>
      <c r="V46" s="189"/>
      <c r="W46" s="191"/>
      <c r="X46" s="222"/>
      <c r="Y46" s="299">
        <f>VALUE(X46*Z46/100)</f>
        <v>0</v>
      </c>
      <c r="Z46" s="308"/>
      <c r="AA46" s="309">
        <v>17400</v>
      </c>
      <c r="AB46" s="299">
        <v>4269</v>
      </c>
      <c r="AC46" s="299">
        <v>54.9</v>
      </c>
      <c r="AD46" s="310">
        <v>17570</v>
      </c>
      <c r="AE46" s="299">
        <v>2940</v>
      </c>
      <c r="AF46" s="331">
        <v>41.22</v>
      </c>
      <c r="AG46" s="312">
        <v>96688</v>
      </c>
      <c r="AH46" s="299">
        <v>31505</v>
      </c>
      <c r="AI46" s="299">
        <v>41.22</v>
      </c>
      <c r="AJ46" s="313">
        <v>53447</v>
      </c>
      <c r="AK46" s="299">
        <v>7030</v>
      </c>
      <c r="AL46" s="331">
        <v>41.22</v>
      </c>
      <c r="AM46" s="314"/>
      <c r="AN46" s="299">
        <f>VALUE(AM46*AO46/100)</f>
        <v>0</v>
      </c>
      <c r="AO46" s="311">
        <v>41.22</v>
      </c>
      <c r="AP46" s="324"/>
      <c r="AQ46" s="299">
        <f t="shared" si="26"/>
        <v>0</v>
      </c>
      <c r="AR46" s="225">
        <v>41.22</v>
      </c>
      <c r="AS46">
        <f t="shared" si="27"/>
        <v>0</v>
      </c>
    </row>
    <row r="47" spans="1:46" ht="15" customHeight="1" x14ac:dyDescent="0.2">
      <c r="A47" s="66">
        <v>37</v>
      </c>
      <c r="B47" s="141" t="s">
        <v>252</v>
      </c>
      <c r="C47" s="189">
        <f t="shared" si="47"/>
        <v>0</v>
      </c>
      <c r="D47" s="189">
        <f>[2]стом1!$C$130</f>
        <v>0</v>
      </c>
      <c r="E47" s="190"/>
      <c r="F47" s="189">
        <f t="shared" si="48"/>
        <v>0</v>
      </c>
      <c r="G47" s="189">
        <f>[2]стом1!$O$130</f>
        <v>0</v>
      </c>
      <c r="H47" s="191"/>
      <c r="I47" s="189">
        <f t="shared" si="49"/>
        <v>0</v>
      </c>
      <c r="J47" s="189">
        <f>[2]стом1!$W$130</f>
        <v>0</v>
      </c>
      <c r="K47" s="191" t="e">
        <f t="shared" si="20"/>
        <v>#DIV/0!</v>
      </c>
      <c r="L47" s="189">
        <f t="shared" si="50"/>
        <v>69208.333333333343</v>
      </c>
      <c r="M47" s="189">
        <f>[2]стом1!$S$130</f>
        <v>84183.959999999992</v>
      </c>
      <c r="N47" s="191">
        <f t="shared" si="13"/>
        <v>121.6</v>
      </c>
      <c r="O47" s="189">
        <f t="shared" si="51"/>
        <v>7333.333333333333</v>
      </c>
      <c r="P47" s="189">
        <f>[2]стом1!$AA$130</f>
        <v>0</v>
      </c>
      <c r="Q47" s="191"/>
      <c r="R47" s="189">
        <f t="shared" si="52"/>
        <v>0</v>
      </c>
      <c r="S47" s="189">
        <f>[2]стом1!$G$130</f>
        <v>0</v>
      </c>
      <c r="T47" s="191"/>
      <c r="U47" s="189">
        <f t="shared" si="53"/>
        <v>0</v>
      </c>
      <c r="V47" s="189"/>
      <c r="W47" s="191"/>
      <c r="X47" s="222"/>
      <c r="Y47" s="299">
        <f>VALUE(X47*Z47/100)</f>
        <v>0</v>
      </c>
      <c r="Z47" s="308"/>
      <c r="AA47" s="309"/>
      <c r="AB47" s="299">
        <f>VALUE(AA47*AC47/100)</f>
        <v>0</v>
      </c>
      <c r="AC47" s="299"/>
      <c r="AD47" s="310">
        <v>500</v>
      </c>
      <c r="AE47" s="299">
        <v>0</v>
      </c>
      <c r="AF47" s="331">
        <v>57.4</v>
      </c>
      <c r="AG47" s="312">
        <v>125317</v>
      </c>
      <c r="AH47" s="299">
        <v>75500</v>
      </c>
      <c r="AI47" s="299">
        <v>57.4</v>
      </c>
      <c r="AJ47" s="313">
        <v>32836</v>
      </c>
      <c r="AK47" s="299">
        <v>8000</v>
      </c>
      <c r="AL47" s="331">
        <v>57.4</v>
      </c>
      <c r="AM47" s="314"/>
      <c r="AN47" s="299">
        <f>VALUE(AM47*AO47/100)</f>
        <v>0</v>
      </c>
      <c r="AO47" s="311">
        <v>57.4</v>
      </c>
      <c r="AP47" s="324"/>
      <c r="AQ47" s="299">
        <f t="shared" si="26"/>
        <v>0</v>
      </c>
      <c r="AR47" s="225">
        <v>57.4</v>
      </c>
      <c r="AS47">
        <f t="shared" si="27"/>
        <v>0</v>
      </c>
    </row>
    <row r="48" spans="1:46" ht="15" customHeight="1" x14ac:dyDescent="0.2">
      <c r="A48" s="66">
        <v>38</v>
      </c>
      <c r="B48" s="141" t="s">
        <v>218</v>
      </c>
      <c r="C48" s="189">
        <f t="shared" si="47"/>
        <v>0</v>
      </c>
      <c r="D48" s="189">
        <f>[3]смп!$C$130</f>
        <v>0</v>
      </c>
      <c r="E48" s="190"/>
      <c r="F48" s="189">
        <f t="shared" si="48"/>
        <v>0</v>
      </c>
      <c r="G48" s="189">
        <f>[3]смп!$O$130</f>
        <v>0</v>
      </c>
      <c r="H48" s="191"/>
      <c r="I48" s="189">
        <f t="shared" si="49"/>
        <v>0</v>
      </c>
      <c r="J48" s="189">
        <f>[3]смп!$W$130</f>
        <v>0</v>
      </c>
      <c r="K48" s="191"/>
      <c r="L48" s="189">
        <f t="shared" si="50"/>
        <v>0</v>
      </c>
      <c r="M48" s="189">
        <f>[3]смп!$S$130</f>
        <v>0</v>
      </c>
      <c r="N48" s="191"/>
      <c r="O48" s="189">
        <f t="shared" si="51"/>
        <v>0</v>
      </c>
      <c r="P48" s="189">
        <f>[3]смп!$AA$130</f>
        <v>0</v>
      </c>
      <c r="Q48" s="191"/>
      <c r="R48" s="189">
        <f t="shared" si="52"/>
        <v>33116.416666666672</v>
      </c>
      <c r="S48" s="189">
        <f>[3]смп!$G$130</f>
        <v>32541</v>
      </c>
      <c r="T48" s="191">
        <f>S48/R48</f>
        <v>0.98262442846825704</v>
      </c>
      <c r="U48" s="189">
        <f t="shared" si="53"/>
        <v>0</v>
      </c>
      <c r="V48" s="189">
        <f>[3]смп!$K$130</f>
        <v>0</v>
      </c>
      <c r="W48" s="191"/>
      <c r="X48" s="222"/>
      <c r="Y48" s="299">
        <f>VALUE(X48*Z48/100)</f>
        <v>0</v>
      </c>
      <c r="Z48" s="308"/>
      <c r="AA48" s="309"/>
      <c r="AB48" s="299">
        <f>VALUE(AA48*AC48/100)</f>
        <v>0</v>
      </c>
      <c r="AC48" s="299"/>
      <c r="AD48" s="310"/>
      <c r="AE48" s="299"/>
      <c r="AF48" s="331"/>
      <c r="AG48" s="312"/>
      <c r="AH48" s="299">
        <f>AG48*AI48/100</f>
        <v>0</v>
      </c>
      <c r="AI48" s="299"/>
      <c r="AJ48" s="313"/>
      <c r="AK48" s="299"/>
      <c r="AL48" s="331"/>
      <c r="AM48" s="314">
        <v>63713</v>
      </c>
      <c r="AN48" s="299">
        <v>36127</v>
      </c>
      <c r="AO48" s="311">
        <f>54.74-0.48</f>
        <v>54.260000000000005</v>
      </c>
      <c r="AP48" s="324"/>
      <c r="AQ48" s="299"/>
      <c r="AR48" s="225"/>
      <c r="AS48">
        <f t="shared" si="27"/>
        <v>37165.916666666672</v>
      </c>
      <c r="AT48">
        <f t="shared" si="28"/>
        <v>87.556026915341334</v>
      </c>
    </row>
    <row r="49" spans="1:46" ht="15" customHeight="1" x14ac:dyDescent="0.25">
      <c r="A49" s="66"/>
      <c r="B49" s="277" t="s">
        <v>270</v>
      </c>
      <c r="C49" s="194">
        <f>SUM(C50:C56)</f>
        <v>60790.583333333328</v>
      </c>
      <c r="D49" s="194">
        <f>SUM(D50:D56)</f>
        <v>57873</v>
      </c>
      <c r="E49" s="187">
        <f>D49/C49*100</f>
        <v>95.200599873609818</v>
      </c>
      <c r="F49" s="194">
        <f>SUM(F50:F56)</f>
        <v>23983.666666666668</v>
      </c>
      <c r="G49" s="194">
        <f>SUM(G50:G56)</f>
        <v>22582</v>
      </c>
      <c r="H49" s="188">
        <f>ROUND(G49/F49*100,1)</f>
        <v>94.2</v>
      </c>
      <c r="I49" s="194">
        <f>SUM(I50:I56)</f>
        <v>14222.999999999998</v>
      </c>
      <c r="J49" s="194">
        <f>SUM(J50:J56)</f>
        <v>9028</v>
      </c>
      <c r="K49" s="188">
        <f>ROUND(J49/I49*100,1)</f>
        <v>63.5</v>
      </c>
      <c r="L49" s="194">
        <f>SUM(L50:L56)</f>
        <v>259200.33333333334</v>
      </c>
      <c r="M49" s="194">
        <f>SUM(M50:M56)</f>
        <v>250464.39</v>
      </c>
      <c r="N49" s="194">
        <f>SUM(N50:N56)</f>
        <v>672.19999999999993</v>
      </c>
      <c r="O49" s="194">
        <f>SUM(O50:O56)</f>
        <v>67012.916666666657</v>
      </c>
      <c r="P49" s="194">
        <f>SUM(P50:P56)</f>
        <v>61785</v>
      </c>
      <c r="Q49" s="188">
        <f t="shared" si="2"/>
        <v>92.2</v>
      </c>
      <c r="R49" s="194">
        <f>SUM(R50:R56)</f>
        <v>14678.583333333332</v>
      </c>
      <c r="S49" s="194">
        <f>SUM(S50:S56)</f>
        <v>13960</v>
      </c>
      <c r="T49" s="188">
        <f>ROUND(S49/R49*100,1)</f>
        <v>95.1</v>
      </c>
      <c r="U49" s="194">
        <f>SUM(U50:U56)</f>
        <v>0</v>
      </c>
      <c r="V49" s="194">
        <f>SUM(V50:V56)</f>
        <v>0</v>
      </c>
      <c r="W49" s="194">
        <f>SUM(W50:W56)*100</f>
        <v>0</v>
      </c>
      <c r="X49" s="254">
        <f>SUM(X50:X56)</f>
        <v>146410</v>
      </c>
      <c r="Y49" s="306">
        <f t="shared" ref="Y49:AR49" si="54">SUM(Y50:Y56)</f>
        <v>66317</v>
      </c>
      <c r="Z49" s="306">
        <f t="shared" si="54"/>
        <v>360.66999999999996</v>
      </c>
      <c r="AA49" s="306">
        <f t="shared" si="54"/>
        <v>63852</v>
      </c>
      <c r="AB49" s="306">
        <f t="shared" si="54"/>
        <v>26164</v>
      </c>
      <c r="AC49" s="306">
        <f t="shared" si="54"/>
        <v>318.54000000000008</v>
      </c>
      <c r="AD49" s="306">
        <f t="shared" si="54"/>
        <v>31662</v>
      </c>
      <c r="AE49" s="306">
        <f t="shared" si="54"/>
        <v>15516</v>
      </c>
      <c r="AF49" s="306">
        <f t="shared" si="54"/>
        <v>370.39</v>
      </c>
      <c r="AG49" s="306">
        <f t="shared" si="54"/>
        <v>455987</v>
      </c>
      <c r="AH49" s="306">
        <f t="shared" si="54"/>
        <v>282764</v>
      </c>
      <c r="AI49" s="306">
        <f t="shared" si="54"/>
        <v>370.39</v>
      </c>
      <c r="AJ49" s="306">
        <f t="shared" si="54"/>
        <v>242006</v>
      </c>
      <c r="AK49" s="306">
        <f t="shared" si="54"/>
        <v>73105</v>
      </c>
      <c r="AL49" s="306">
        <f t="shared" si="54"/>
        <v>370.39</v>
      </c>
      <c r="AM49" s="306">
        <f t="shared" si="54"/>
        <v>27726</v>
      </c>
      <c r="AN49" s="306">
        <f t="shared" si="54"/>
        <v>16013</v>
      </c>
      <c r="AO49" s="306">
        <f>SUM(AO50:AO56)</f>
        <v>389.38000000000005</v>
      </c>
      <c r="AP49" s="306">
        <f t="shared" si="54"/>
        <v>0</v>
      </c>
      <c r="AQ49" s="306">
        <f t="shared" si="54"/>
        <v>0</v>
      </c>
      <c r="AR49" s="254">
        <f t="shared" si="54"/>
        <v>370.39</v>
      </c>
      <c r="AS49">
        <f t="shared" si="27"/>
        <v>16173.5</v>
      </c>
      <c r="AT49">
        <f t="shared" si="28"/>
        <v>86.314032213188241</v>
      </c>
    </row>
    <row r="50" spans="1:46" ht="15" customHeight="1" x14ac:dyDescent="0.2">
      <c r="A50" s="67">
        <v>39</v>
      </c>
      <c r="B50" s="77" t="s">
        <v>213</v>
      </c>
      <c r="C50" s="189">
        <f t="shared" ref="C50:C56" si="55">Y50/12*11</f>
        <v>26336.75</v>
      </c>
      <c r="D50" s="189">
        <f>[2]костр!$C$130</f>
        <v>25735</v>
      </c>
      <c r="E50" s="190">
        <f>D50/C50*100</f>
        <v>97.715169867200785</v>
      </c>
      <c r="F50" s="189">
        <f t="shared" ref="F50:F56" si="56">AB50/12*11</f>
        <v>3925.1666666666665</v>
      </c>
      <c r="G50" s="189">
        <f>[2]костр!$O$130</f>
        <v>3647</v>
      </c>
      <c r="H50" s="191">
        <f>ROUND(G49/F49*100,1)</f>
        <v>94.2</v>
      </c>
      <c r="I50" s="189">
        <f t="shared" ref="I50:I56" si="57">AE50/12*11</f>
        <v>2810.5</v>
      </c>
      <c r="J50" s="189">
        <f>[2]костр!$W$130</f>
        <v>1739</v>
      </c>
      <c r="K50" s="191">
        <f>ROUND(J50/I50*100,1)</f>
        <v>61.9</v>
      </c>
      <c r="L50" s="189">
        <f t="shared" ref="L50:L56" si="58">AH50/12*11</f>
        <v>68100.083333333343</v>
      </c>
      <c r="M50" s="262">
        <f>[2]костр!$S$130</f>
        <v>65503.700000000004</v>
      </c>
      <c r="N50" s="191">
        <f>ROUND(M50/L50*100,1)</f>
        <v>96.2</v>
      </c>
      <c r="O50" s="189">
        <f t="shared" ref="O50:O56" si="59">AK50/12*11</f>
        <v>17253.5</v>
      </c>
      <c r="P50" s="189">
        <f>[2]костр!$AA$130</f>
        <v>15458</v>
      </c>
      <c r="Q50" s="191">
        <f>ROUND(P50/O50*100,1)</f>
        <v>89.6</v>
      </c>
      <c r="R50" s="189">
        <f t="shared" ref="R50:R56" si="60">AN50/12*11</f>
        <v>0</v>
      </c>
      <c r="S50" s="189">
        <f>[2]костр!$G$130</f>
        <v>0</v>
      </c>
      <c r="T50" s="191"/>
      <c r="U50" s="189">
        <f t="shared" ref="U50:U56" si="61">AQ50/12*11</f>
        <v>0</v>
      </c>
      <c r="V50" s="189"/>
      <c r="W50" s="191"/>
      <c r="X50" s="293">
        <v>62050</v>
      </c>
      <c r="Y50" s="299">
        <v>28731</v>
      </c>
      <c r="Z50" s="325">
        <v>53.9</v>
      </c>
      <c r="AA50" s="326">
        <v>13652</v>
      </c>
      <c r="AB50" s="299">
        <v>4282</v>
      </c>
      <c r="AC50" s="256">
        <v>38.58</v>
      </c>
      <c r="AD50" s="327">
        <v>13000</v>
      </c>
      <c r="AE50" s="299">
        <v>3066</v>
      </c>
      <c r="AF50" s="331">
        <v>54.1</v>
      </c>
      <c r="AG50" s="312">
        <v>128230</v>
      </c>
      <c r="AH50" s="299">
        <v>74291</v>
      </c>
      <c r="AI50" s="299">
        <v>54.1</v>
      </c>
      <c r="AJ50" s="313">
        <v>60452</v>
      </c>
      <c r="AK50" s="299">
        <v>18822</v>
      </c>
      <c r="AL50" s="331">
        <v>54.1</v>
      </c>
      <c r="AM50" s="314">
        <v>0</v>
      </c>
      <c r="AN50" s="299">
        <f>VALUE(AM50*AO50/100)</f>
        <v>0</v>
      </c>
      <c r="AO50" s="311">
        <v>54.1</v>
      </c>
      <c r="AP50" s="324"/>
      <c r="AQ50" s="299">
        <f t="shared" si="26"/>
        <v>0</v>
      </c>
      <c r="AR50" s="225">
        <v>54.1</v>
      </c>
      <c r="AS50">
        <f t="shared" si="27"/>
        <v>0</v>
      </c>
    </row>
    <row r="51" spans="1:46" ht="15" customHeight="1" x14ac:dyDescent="0.2">
      <c r="A51" s="67">
        <v>40</v>
      </c>
      <c r="B51" s="77" t="s">
        <v>242</v>
      </c>
      <c r="C51" s="189">
        <f t="shared" si="55"/>
        <v>13970.916666666666</v>
      </c>
      <c r="D51" s="189">
        <f>[3]ВОЛГ!$C$130</f>
        <v>13109</v>
      </c>
      <c r="E51" s="190">
        <f>D51/C51*100</f>
        <v>93.830636262235245</v>
      </c>
      <c r="F51" s="189">
        <f t="shared" si="56"/>
        <v>4785</v>
      </c>
      <c r="G51" s="189">
        <f>[3]ВОЛГ!$O$130</f>
        <v>4373</v>
      </c>
      <c r="H51" s="191">
        <f>ROUND(G51/F51*100,1)</f>
        <v>91.4</v>
      </c>
      <c r="I51" s="189">
        <f t="shared" si="57"/>
        <v>1929.5833333333333</v>
      </c>
      <c r="J51" s="189">
        <f>[3]ВОЛГ!$W$130</f>
        <v>788</v>
      </c>
      <c r="K51" s="191">
        <f>ROUND(J51/I51*100,1)</f>
        <v>40.799999999999997</v>
      </c>
      <c r="L51" s="189">
        <f t="shared" si="58"/>
        <v>42381.166666666672</v>
      </c>
      <c r="M51" s="189">
        <f>[3]ВОЛГ!$S$130</f>
        <v>44267.380000000005</v>
      </c>
      <c r="N51" s="191">
        <f>ROUND(M51/L51*100,1)</f>
        <v>104.5</v>
      </c>
      <c r="O51" s="189">
        <f t="shared" si="59"/>
        <v>13239.416666666666</v>
      </c>
      <c r="P51" s="189">
        <f>[3]ВОЛГ!$AA$130</f>
        <v>12364</v>
      </c>
      <c r="Q51" s="191">
        <f>ROUND(P51/O51*100,1)</f>
        <v>93.4</v>
      </c>
      <c r="R51" s="189">
        <f t="shared" si="60"/>
        <v>3206.5</v>
      </c>
      <c r="S51" s="189">
        <f>[3]ВОЛГ!$G$130</f>
        <v>3103</v>
      </c>
      <c r="T51" s="191">
        <f>ROUND(S51/R51*100,1)</f>
        <v>96.8</v>
      </c>
      <c r="U51" s="189">
        <f t="shared" si="61"/>
        <v>0</v>
      </c>
      <c r="V51" s="189"/>
      <c r="W51" s="191"/>
      <c r="X51" s="222">
        <v>28474</v>
      </c>
      <c r="Y51" s="299">
        <v>15241</v>
      </c>
      <c r="Z51" s="308">
        <v>60.75</v>
      </c>
      <c r="AA51" s="309">
        <v>11500</v>
      </c>
      <c r="AB51" s="299">
        <v>5220</v>
      </c>
      <c r="AC51" s="299">
        <v>52.85</v>
      </c>
      <c r="AD51" s="310">
        <v>3273</v>
      </c>
      <c r="AE51" s="299">
        <v>2105</v>
      </c>
      <c r="AF51" s="331">
        <v>57.21</v>
      </c>
      <c r="AG51" s="312">
        <v>39271</v>
      </c>
      <c r="AH51" s="299">
        <f>46200+34</f>
        <v>46234</v>
      </c>
      <c r="AI51" s="299">
        <v>57.21</v>
      </c>
      <c r="AJ51" s="313">
        <v>41165</v>
      </c>
      <c r="AK51" s="299">
        <v>14443</v>
      </c>
      <c r="AL51" s="331">
        <v>57.21</v>
      </c>
      <c r="AM51" s="314">
        <v>5809</v>
      </c>
      <c r="AN51" s="299">
        <v>3498</v>
      </c>
      <c r="AO51" s="311">
        <f>52.64+5.03</f>
        <v>57.67</v>
      </c>
      <c r="AP51" s="324"/>
      <c r="AQ51" s="299">
        <f t="shared" si="26"/>
        <v>0</v>
      </c>
      <c r="AR51" s="225">
        <v>57.21</v>
      </c>
      <c r="AS51">
        <f t="shared" si="27"/>
        <v>3388.583333333333</v>
      </c>
      <c r="AT51">
        <f t="shared" si="28"/>
        <v>91.572190935248273</v>
      </c>
    </row>
    <row r="52" spans="1:46" ht="15" customHeight="1" x14ac:dyDescent="0.2">
      <c r="A52" s="67">
        <v>41</v>
      </c>
      <c r="B52" s="77" t="s">
        <v>274</v>
      </c>
      <c r="C52" s="189">
        <f t="shared" si="55"/>
        <v>1900.25</v>
      </c>
      <c r="D52" s="189">
        <f>[4]красное!$C$130</f>
        <v>1541</v>
      </c>
      <c r="E52" s="190">
        <f>D52/C52*100</f>
        <v>81.094592816734647</v>
      </c>
      <c r="F52" s="189">
        <f t="shared" si="56"/>
        <v>3382.5</v>
      </c>
      <c r="G52" s="189">
        <f>[4]красное!$O$130</f>
        <v>3473</v>
      </c>
      <c r="H52" s="191">
        <f>ROUND(G52/F52*100,1)</f>
        <v>102.7</v>
      </c>
      <c r="I52" s="189">
        <f t="shared" si="57"/>
        <v>1198.0833333333335</v>
      </c>
      <c r="J52" s="189">
        <f>[4]красное!$W$130</f>
        <v>909</v>
      </c>
      <c r="K52" s="191">
        <f>ROUND(J52/I52*100,1)</f>
        <v>75.900000000000006</v>
      </c>
      <c r="L52" s="189">
        <f t="shared" si="58"/>
        <v>35405.333333333328</v>
      </c>
      <c r="M52" s="189">
        <f>[4]красное!$S$130</f>
        <v>33931.409999999996</v>
      </c>
      <c r="N52" s="191">
        <f>ROUND(M52/L52*100,1)</f>
        <v>95.8</v>
      </c>
      <c r="O52" s="189">
        <f t="shared" si="59"/>
        <v>10442.666666666668</v>
      </c>
      <c r="P52" s="189">
        <f>[4]красное!$AA$130</f>
        <v>9529</v>
      </c>
      <c r="Q52" s="191">
        <f>ROUND(P52/O52*100,1)</f>
        <v>91.3</v>
      </c>
      <c r="R52" s="189">
        <f t="shared" si="60"/>
        <v>2825.1666666666665</v>
      </c>
      <c r="S52" s="189">
        <f>[4]красное!$G$130</f>
        <v>2669</v>
      </c>
      <c r="T52" s="191">
        <f>ROUND(S52/R52*100,1)</f>
        <v>94.5</v>
      </c>
      <c r="U52" s="189">
        <f t="shared" si="61"/>
        <v>0</v>
      </c>
      <c r="V52" s="189"/>
      <c r="W52" s="191"/>
      <c r="X52" s="222">
        <v>3200</v>
      </c>
      <c r="Y52" s="299">
        <v>2073</v>
      </c>
      <c r="Z52" s="308">
        <v>53.9</v>
      </c>
      <c r="AA52" s="309">
        <v>6000</v>
      </c>
      <c r="AB52" s="299">
        <v>3690</v>
      </c>
      <c r="AC52" s="299">
        <v>59.68</v>
      </c>
      <c r="AD52" s="310">
        <v>1000</v>
      </c>
      <c r="AE52" s="299">
        <v>1307</v>
      </c>
      <c r="AF52" s="331">
        <v>52.89</v>
      </c>
      <c r="AG52" s="312">
        <v>39436</v>
      </c>
      <c r="AH52" s="299">
        <v>38624</v>
      </c>
      <c r="AI52" s="299">
        <v>52.89</v>
      </c>
      <c r="AJ52" s="313">
        <v>26656</v>
      </c>
      <c r="AK52" s="299">
        <v>11392</v>
      </c>
      <c r="AL52" s="331">
        <v>52.89</v>
      </c>
      <c r="AM52" s="314">
        <v>4921</v>
      </c>
      <c r="AN52" s="299">
        <v>3082</v>
      </c>
      <c r="AO52" s="311">
        <f>60.96-1.64-0.08</f>
        <v>59.24</v>
      </c>
      <c r="AP52" s="324"/>
      <c r="AQ52" s="299">
        <f t="shared" si="26"/>
        <v>0</v>
      </c>
      <c r="AR52" s="225">
        <v>52.89</v>
      </c>
      <c r="AS52">
        <f t="shared" si="27"/>
        <v>2870.583333333333</v>
      </c>
      <c r="AT52">
        <f t="shared" si="28"/>
        <v>92.977617789647866</v>
      </c>
    </row>
    <row r="53" spans="1:46" ht="15" customHeight="1" x14ac:dyDescent="0.2">
      <c r="A53" s="66">
        <v>42</v>
      </c>
      <c r="B53" s="77" t="s">
        <v>244</v>
      </c>
      <c r="C53" s="189">
        <f t="shared" si="55"/>
        <v>12899.333333333334</v>
      </c>
      <c r="D53" s="189">
        <f>[4]нерехта!$C$130</f>
        <v>12167</v>
      </c>
      <c r="E53" s="190">
        <f t="shared" si="16"/>
        <v>94.322704015711395</v>
      </c>
      <c r="F53" s="189">
        <f t="shared" si="56"/>
        <v>5770.416666666667</v>
      </c>
      <c r="G53" s="189">
        <f>[4]нерехта!$O$130</f>
        <v>5620</v>
      </c>
      <c r="H53" s="191">
        <f>ROUND(G53/F53*100,1)</f>
        <v>97.4</v>
      </c>
      <c r="I53" s="189">
        <f t="shared" si="57"/>
        <v>5149.8333333333339</v>
      </c>
      <c r="J53" s="189">
        <f>[4]нерехта!$W$130</f>
        <v>4130</v>
      </c>
      <c r="K53" s="191">
        <f t="shared" si="20"/>
        <v>80.2</v>
      </c>
      <c r="L53" s="189">
        <f t="shared" si="58"/>
        <v>39575.25</v>
      </c>
      <c r="M53" s="189">
        <f>[4]нерехта!$S$130</f>
        <v>35980.769999999997</v>
      </c>
      <c r="N53" s="191">
        <f t="shared" si="13"/>
        <v>90.9</v>
      </c>
      <c r="O53" s="189">
        <f t="shared" si="59"/>
        <v>15862.916666666666</v>
      </c>
      <c r="P53" s="189">
        <f>[4]нерехта!$AA$130</f>
        <v>14375</v>
      </c>
      <c r="Q53" s="191">
        <f t="shared" si="2"/>
        <v>90.6</v>
      </c>
      <c r="R53" s="189">
        <f t="shared" si="60"/>
        <v>3957.25</v>
      </c>
      <c r="S53" s="189">
        <f>[4]нерехта!$G$130</f>
        <v>3764</v>
      </c>
      <c r="T53" s="191">
        <f t="shared" si="24"/>
        <v>95.1</v>
      </c>
      <c r="U53" s="189">
        <f t="shared" si="61"/>
        <v>0</v>
      </c>
      <c r="V53" s="189"/>
      <c r="W53" s="191"/>
      <c r="X53" s="222">
        <v>41300</v>
      </c>
      <c r="Y53" s="299">
        <v>14072</v>
      </c>
      <c r="Z53" s="308">
        <v>49.29</v>
      </c>
      <c r="AA53" s="309">
        <v>20000</v>
      </c>
      <c r="AB53" s="299">
        <v>6295</v>
      </c>
      <c r="AC53" s="299">
        <v>47.09</v>
      </c>
      <c r="AD53" s="310">
        <v>11365</v>
      </c>
      <c r="AE53" s="299">
        <v>5618</v>
      </c>
      <c r="AF53" s="331">
        <v>52.49</v>
      </c>
      <c r="AG53" s="312">
        <v>106408</v>
      </c>
      <c r="AH53" s="299">
        <v>43173</v>
      </c>
      <c r="AI53" s="299">
        <v>52.49</v>
      </c>
      <c r="AJ53" s="313">
        <v>57770</v>
      </c>
      <c r="AK53" s="299">
        <v>17305</v>
      </c>
      <c r="AL53" s="331">
        <v>52.49</v>
      </c>
      <c r="AM53" s="314">
        <v>9344</v>
      </c>
      <c r="AN53" s="299">
        <v>4317</v>
      </c>
      <c r="AO53" s="311">
        <f>47.35+2.54</f>
        <v>49.89</v>
      </c>
      <c r="AP53" s="324"/>
      <c r="AQ53" s="299">
        <f t="shared" si="26"/>
        <v>0</v>
      </c>
      <c r="AR53" s="225">
        <v>52.49</v>
      </c>
      <c r="AS53">
        <f t="shared" si="27"/>
        <v>5450.6666666666661</v>
      </c>
      <c r="AT53">
        <f t="shared" si="28"/>
        <v>69.055772994129157</v>
      </c>
    </row>
    <row r="54" spans="1:46" ht="15" customHeight="1" x14ac:dyDescent="0.2">
      <c r="A54" s="66">
        <v>43</v>
      </c>
      <c r="B54" s="77" t="s">
        <v>214</v>
      </c>
      <c r="C54" s="189">
        <f t="shared" si="55"/>
        <v>0</v>
      </c>
      <c r="D54" s="189">
        <f>[4]стомНер!$C$130</f>
        <v>0</v>
      </c>
      <c r="E54" s="190"/>
      <c r="F54" s="189">
        <f t="shared" si="56"/>
        <v>0</v>
      </c>
      <c r="G54" s="189">
        <f>[4]стомНер!$O$130</f>
        <v>0</v>
      </c>
      <c r="H54" s="191"/>
      <c r="I54" s="189">
        <f t="shared" si="57"/>
        <v>0</v>
      </c>
      <c r="J54" s="189">
        <f>[4]стомНер!$W$130</f>
        <v>0</v>
      </c>
      <c r="K54" s="191" t="e">
        <f t="shared" si="20"/>
        <v>#DIV/0!</v>
      </c>
      <c r="L54" s="189">
        <f t="shared" si="58"/>
        <v>11841.5</v>
      </c>
      <c r="M54" s="189">
        <f>[4]стомНер!$S$130</f>
        <v>10770.170000000002</v>
      </c>
      <c r="N54" s="191">
        <f t="shared" si="13"/>
        <v>91</v>
      </c>
      <c r="O54" s="189">
        <f t="shared" si="59"/>
        <v>0</v>
      </c>
      <c r="P54" s="189">
        <f>[4]стомНер!$AA$130</f>
        <v>0</v>
      </c>
      <c r="Q54" s="191"/>
      <c r="R54" s="189">
        <f t="shared" si="60"/>
        <v>0</v>
      </c>
      <c r="S54" s="189">
        <f>[4]стомНер!$G$130</f>
        <v>0</v>
      </c>
      <c r="T54" s="191"/>
      <c r="U54" s="189">
        <f t="shared" si="61"/>
        <v>0</v>
      </c>
      <c r="V54" s="189"/>
      <c r="W54" s="191"/>
      <c r="X54" s="222"/>
      <c r="Y54" s="299">
        <f>VALUE(X54*Z54/100)</f>
        <v>0</v>
      </c>
      <c r="Z54" s="308"/>
      <c r="AA54" s="309"/>
      <c r="AB54" s="299">
        <f>VALUE(AA54*AC54/100)</f>
        <v>0</v>
      </c>
      <c r="AC54" s="299"/>
      <c r="AD54" s="310">
        <v>824</v>
      </c>
      <c r="AE54" s="299">
        <v>0</v>
      </c>
      <c r="AF54" s="331">
        <v>35.950000000000003</v>
      </c>
      <c r="AG54" s="312">
        <v>32037</v>
      </c>
      <c r="AH54" s="299">
        <v>12918</v>
      </c>
      <c r="AI54" s="299">
        <v>35.950000000000003</v>
      </c>
      <c r="AJ54" s="313">
        <v>9443</v>
      </c>
      <c r="AK54" s="299"/>
      <c r="AL54" s="331">
        <v>35.950000000000003</v>
      </c>
      <c r="AM54" s="314"/>
      <c r="AN54" s="299">
        <f>VALUE(AM54*AO54/100)</f>
        <v>0</v>
      </c>
      <c r="AO54" s="311">
        <v>35.950000000000003</v>
      </c>
      <c r="AP54" s="324"/>
      <c r="AQ54" s="299">
        <f t="shared" si="26"/>
        <v>0</v>
      </c>
      <c r="AR54" s="225">
        <v>35.950000000000003</v>
      </c>
      <c r="AS54">
        <f t="shared" si="27"/>
        <v>0</v>
      </c>
    </row>
    <row r="55" spans="1:46" ht="15" customHeight="1" x14ac:dyDescent="0.2">
      <c r="A55" s="66">
        <v>44</v>
      </c>
      <c r="B55" s="77" t="s">
        <v>245</v>
      </c>
      <c r="C55" s="189">
        <f t="shared" si="55"/>
        <v>3166.1666666666665</v>
      </c>
      <c r="D55" s="189">
        <f>[3]ОСТР!$C$130</f>
        <v>3215</v>
      </c>
      <c r="E55" s="190">
        <f t="shared" si="16"/>
        <v>101.54234879191452</v>
      </c>
      <c r="F55" s="189">
        <f t="shared" si="56"/>
        <v>2566.666666666667</v>
      </c>
      <c r="G55" s="189">
        <f>[3]ОСТР!$O$130</f>
        <v>2312</v>
      </c>
      <c r="H55" s="191">
        <f>ROUND(G55/F55*100,1)</f>
        <v>90.1</v>
      </c>
      <c r="I55" s="189">
        <f t="shared" si="57"/>
        <v>2226.583333333333</v>
      </c>
      <c r="J55" s="189">
        <f>[3]ОСТР!$W$130</f>
        <v>1309</v>
      </c>
      <c r="K55" s="191">
        <f t="shared" si="20"/>
        <v>58.8</v>
      </c>
      <c r="L55" s="189">
        <f t="shared" si="58"/>
        <v>33520.666666666672</v>
      </c>
      <c r="M55" s="189">
        <f>[3]ОСТР!$S$130</f>
        <v>32659.329999999998</v>
      </c>
      <c r="N55" s="191">
        <f t="shared" si="13"/>
        <v>97.4</v>
      </c>
      <c r="O55" s="189">
        <f t="shared" si="59"/>
        <v>5494.5</v>
      </c>
      <c r="P55" s="189">
        <f>[3]ОСТР!$AA$130</f>
        <v>5775</v>
      </c>
      <c r="Q55" s="191">
        <f t="shared" si="2"/>
        <v>105.1</v>
      </c>
      <c r="R55" s="189">
        <f t="shared" si="60"/>
        <v>2464.916666666667</v>
      </c>
      <c r="S55" s="189">
        <f>[3]ОСТР!$G$130</f>
        <v>2327</v>
      </c>
      <c r="T55" s="191">
        <f t="shared" si="24"/>
        <v>94.4</v>
      </c>
      <c r="U55" s="189">
        <f t="shared" si="61"/>
        <v>0</v>
      </c>
      <c r="V55" s="189"/>
      <c r="W55" s="191"/>
      <c r="X55" s="222">
        <v>7600</v>
      </c>
      <c r="Y55" s="299">
        <v>3454</v>
      </c>
      <c r="Z55" s="308">
        <v>74.31</v>
      </c>
      <c r="AA55" s="309">
        <v>5700</v>
      </c>
      <c r="AB55" s="299">
        <v>2800</v>
      </c>
      <c r="AC55" s="299">
        <v>71.12</v>
      </c>
      <c r="AD55" s="310">
        <v>1200</v>
      </c>
      <c r="AE55" s="299">
        <v>2429</v>
      </c>
      <c r="AF55" s="331">
        <v>64.900000000000006</v>
      </c>
      <c r="AG55" s="312">
        <v>37238</v>
      </c>
      <c r="AH55" s="299">
        <v>36568</v>
      </c>
      <c r="AI55" s="299">
        <v>64.900000000000006</v>
      </c>
      <c r="AJ55" s="313">
        <v>28498</v>
      </c>
      <c r="AK55" s="299">
        <v>5994</v>
      </c>
      <c r="AL55" s="331">
        <v>64.900000000000006</v>
      </c>
      <c r="AM55" s="314">
        <v>3688</v>
      </c>
      <c r="AN55" s="299">
        <v>2689</v>
      </c>
      <c r="AO55" s="311">
        <f>68.56+6.62</f>
        <v>75.180000000000007</v>
      </c>
      <c r="AP55" s="324"/>
      <c r="AQ55" s="299">
        <f t="shared" si="26"/>
        <v>0</v>
      </c>
      <c r="AR55" s="225">
        <v>64.900000000000006</v>
      </c>
      <c r="AS55">
        <f t="shared" si="27"/>
        <v>2151.333333333333</v>
      </c>
      <c r="AT55">
        <f t="shared" si="28"/>
        <v>108.16547877285404</v>
      </c>
    </row>
    <row r="56" spans="1:46" ht="15" customHeight="1" x14ac:dyDescent="0.2">
      <c r="A56" s="66">
        <v>45</v>
      </c>
      <c r="B56" s="77" t="s">
        <v>246</v>
      </c>
      <c r="C56" s="189">
        <f t="shared" si="55"/>
        <v>2517.166666666667</v>
      </c>
      <c r="D56" s="189">
        <f>[4]суд!$C$130</f>
        <v>2106</v>
      </c>
      <c r="E56" s="190">
        <f t="shared" si="16"/>
        <v>83.665496921141482</v>
      </c>
      <c r="F56" s="189">
        <f t="shared" si="56"/>
        <v>3553.9166666666665</v>
      </c>
      <c r="G56" s="189">
        <f>[4]суд!$O$130</f>
        <v>3157</v>
      </c>
      <c r="H56" s="191">
        <f>ROUND(G56/F56*100,1)</f>
        <v>88.8</v>
      </c>
      <c r="I56" s="189">
        <f t="shared" si="57"/>
        <v>908.41666666666663</v>
      </c>
      <c r="J56" s="189">
        <f>[4]суд!$W$130</f>
        <v>153</v>
      </c>
      <c r="K56" s="191">
        <f t="shared" si="20"/>
        <v>16.8</v>
      </c>
      <c r="L56" s="189">
        <f t="shared" si="58"/>
        <v>28376.333333333332</v>
      </c>
      <c r="M56" s="189">
        <f>[4]суд!$S$130</f>
        <v>27351.629999999997</v>
      </c>
      <c r="N56" s="191">
        <f t="shared" si="13"/>
        <v>96.4</v>
      </c>
      <c r="O56" s="189">
        <f t="shared" si="59"/>
        <v>4719.9166666666661</v>
      </c>
      <c r="P56" s="189">
        <f>[4]суд!$AA$130</f>
        <v>4284</v>
      </c>
      <c r="Q56" s="191">
        <f t="shared" si="2"/>
        <v>90.8</v>
      </c>
      <c r="R56" s="189">
        <f t="shared" si="60"/>
        <v>2224.75</v>
      </c>
      <c r="S56" s="189">
        <f>[4]суд!$G$130</f>
        <v>2097</v>
      </c>
      <c r="T56" s="191">
        <f t="shared" si="24"/>
        <v>94.3</v>
      </c>
      <c r="U56" s="189">
        <f t="shared" si="61"/>
        <v>0</v>
      </c>
      <c r="V56" s="189"/>
      <c r="W56" s="191"/>
      <c r="X56" s="222">
        <v>3786</v>
      </c>
      <c r="Y56" s="299">
        <v>2746</v>
      </c>
      <c r="Z56" s="308">
        <v>68.52</v>
      </c>
      <c r="AA56" s="309">
        <v>7000</v>
      </c>
      <c r="AB56" s="299">
        <v>3877</v>
      </c>
      <c r="AC56" s="299">
        <v>49.22</v>
      </c>
      <c r="AD56" s="310">
        <v>1000</v>
      </c>
      <c r="AE56" s="299">
        <v>991</v>
      </c>
      <c r="AF56" s="331">
        <v>52.85</v>
      </c>
      <c r="AG56" s="312">
        <v>73367</v>
      </c>
      <c r="AH56" s="299">
        <v>30956</v>
      </c>
      <c r="AI56" s="299">
        <v>52.85</v>
      </c>
      <c r="AJ56" s="313">
        <v>18022</v>
      </c>
      <c r="AK56" s="299">
        <v>5149</v>
      </c>
      <c r="AL56" s="331">
        <v>52.85</v>
      </c>
      <c r="AM56" s="314">
        <v>3964</v>
      </c>
      <c r="AN56" s="299">
        <v>2427</v>
      </c>
      <c r="AO56" s="311">
        <f>56.22+1.13</f>
        <v>57.35</v>
      </c>
      <c r="AP56" s="324"/>
      <c r="AQ56" s="299">
        <f t="shared" si="26"/>
        <v>0</v>
      </c>
      <c r="AR56" s="225">
        <v>52.85</v>
      </c>
      <c r="AS56">
        <f t="shared" si="27"/>
        <v>2312.333333333333</v>
      </c>
      <c r="AT56">
        <f t="shared" si="28"/>
        <v>90.687617125558603</v>
      </c>
    </row>
    <row r="57" spans="1:46" ht="15" customHeight="1" x14ac:dyDescent="0.25">
      <c r="A57" s="66"/>
      <c r="B57" s="194" t="s">
        <v>276</v>
      </c>
      <c r="C57" s="194">
        <f>SUM(C58:C73)</f>
        <v>3043.333333333333</v>
      </c>
      <c r="D57" s="194">
        <f>SUM(D58:D73)</f>
        <v>2669</v>
      </c>
      <c r="E57" s="187">
        <f>D57/C57*100</f>
        <v>87.699890470974822</v>
      </c>
      <c r="F57" s="194">
        <f>SUM(F58:F73)</f>
        <v>4605.3333333333339</v>
      </c>
      <c r="G57" s="194">
        <f>SUM(G58:G73)</f>
        <v>3937</v>
      </c>
      <c r="H57" s="188">
        <f>ROUND(G57/F57*100,1)</f>
        <v>85.5</v>
      </c>
      <c r="I57" s="194">
        <f>SUM(I58:I73)</f>
        <v>0.42258333333333337</v>
      </c>
      <c r="J57" s="194">
        <f>SUM(J58:J73)</f>
        <v>0</v>
      </c>
      <c r="K57" s="188">
        <f t="shared" si="20"/>
        <v>0</v>
      </c>
      <c r="L57" s="194">
        <f>SUM(L58:L73)</f>
        <v>65169.499999999993</v>
      </c>
      <c r="M57" s="194">
        <f>SUM(M58:M73)</f>
        <v>67960.12999999999</v>
      </c>
      <c r="N57" s="188">
        <f>ROUND(M57/L57*100,1)</f>
        <v>104.3</v>
      </c>
      <c r="O57" s="194">
        <f>SUM(O58:O73)</f>
        <v>2863.666666666667</v>
      </c>
      <c r="P57" s="194">
        <f>SUM(P58:P73)</f>
        <v>1823</v>
      </c>
      <c r="Q57" s="188">
        <f t="shared" si="2"/>
        <v>63.7</v>
      </c>
      <c r="R57" s="194">
        <f>SUM(R58:R73)</f>
        <v>0</v>
      </c>
      <c r="S57" s="194">
        <f>SUM(S58:S73)</f>
        <v>0</v>
      </c>
      <c r="T57" s="188" t="e">
        <f>ROUND(S57/R57*100,1)</f>
        <v>#DIV/0!</v>
      </c>
      <c r="U57" s="194">
        <f>SUM(U58:U73)</f>
        <v>5203.9166666666661</v>
      </c>
      <c r="V57" s="194">
        <f>SUM(V58:V73)</f>
        <v>5432</v>
      </c>
      <c r="W57" s="193">
        <f>ROUND(V57/U57*100,1)</f>
        <v>104.4</v>
      </c>
      <c r="X57" s="254">
        <f>SUM(X58:X73)</f>
        <v>7373</v>
      </c>
      <c r="Y57" s="306">
        <f t="shared" ref="Y57:AR57" si="62">SUM(Y58:Y73)</f>
        <v>3320</v>
      </c>
      <c r="Z57" s="306">
        <f t="shared" si="62"/>
        <v>217.52</v>
      </c>
      <c r="AA57" s="306">
        <f t="shared" si="62"/>
        <v>11126</v>
      </c>
      <c r="AB57" s="306">
        <f t="shared" si="62"/>
        <v>5024</v>
      </c>
      <c r="AC57" s="306">
        <f t="shared" si="62"/>
        <v>179.51</v>
      </c>
      <c r="AD57" s="306">
        <f t="shared" si="62"/>
        <v>0</v>
      </c>
      <c r="AE57" s="306">
        <f t="shared" si="62"/>
        <v>0.46100000000000002</v>
      </c>
      <c r="AF57" s="306">
        <f t="shared" si="62"/>
        <v>715.53</v>
      </c>
      <c r="AG57" s="306">
        <f t="shared" si="62"/>
        <v>97818</v>
      </c>
      <c r="AH57" s="306">
        <f t="shared" si="62"/>
        <v>71094</v>
      </c>
      <c r="AI57" s="306">
        <f t="shared" si="62"/>
        <v>715.53</v>
      </c>
      <c r="AJ57" s="306">
        <f t="shared" si="62"/>
        <v>43235</v>
      </c>
      <c r="AK57" s="306">
        <f t="shared" si="62"/>
        <v>3124</v>
      </c>
      <c r="AL57" s="306">
        <f t="shared" si="62"/>
        <v>715.53</v>
      </c>
      <c r="AM57" s="306">
        <f t="shared" si="62"/>
        <v>0</v>
      </c>
      <c r="AN57" s="306">
        <f t="shared" si="62"/>
        <v>0</v>
      </c>
      <c r="AO57" s="306">
        <f>SUM(AO58:AO73)</f>
        <v>715.53</v>
      </c>
      <c r="AP57" s="306">
        <f t="shared" si="62"/>
        <v>10762</v>
      </c>
      <c r="AQ57" s="306">
        <f t="shared" si="62"/>
        <v>5677</v>
      </c>
      <c r="AR57" s="254">
        <f t="shared" si="62"/>
        <v>715.53</v>
      </c>
      <c r="AS57">
        <f t="shared" si="27"/>
        <v>0</v>
      </c>
    </row>
    <row r="58" spans="1:46" ht="15" customHeight="1" x14ac:dyDescent="0.2">
      <c r="A58" s="66">
        <v>46</v>
      </c>
      <c r="B58" s="67" t="s">
        <v>197</v>
      </c>
      <c r="C58" s="189">
        <f t="shared" ref="C58:C73" si="63">Y58/12*11</f>
        <v>1585.8333333333333</v>
      </c>
      <c r="D58" s="189">
        <f>[4]увд!$C$130</f>
        <v>1405</v>
      </c>
      <c r="E58" s="190">
        <f>D58/C58*100</f>
        <v>88.596952180767218</v>
      </c>
      <c r="F58" s="189">
        <f t="shared" ref="F58:F73" si="64">AB58/12*11</f>
        <v>667.33333333333326</v>
      </c>
      <c r="G58" s="189">
        <f>[4]увд!$O$130</f>
        <v>337</v>
      </c>
      <c r="H58" s="191">
        <f>ROUND(G58/F58*100,1)</f>
        <v>50.5</v>
      </c>
      <c r="I58" s="189">
        <f t="shared" ref="I58:I73" si="65">AE58/12*11</f>
        <v>0</v>
      </c>
      <c r="J58" s="189">
        <f>[4]увд!$W$130</f>
        <v>0</v>
      </c>
      <c r="K58" s="191"/>
      <c r="L58" s="189">
        <f t="shared" ref="L58:L73" si="66">AH58/12*11</f>
        <v>1935.0833333333333</v>
      </c>
      <c r="M58" s="189">
        <f>[4]увд!$S$130</f>
        <v>1276.1100000000001</v>
      </c>
      <c r="N58" s="191">
        <f t="shared" si="13"/>
        <v>65.900000000000006</v>
      </c>
      <c r="O58" s="189">
        <f t="shared" ref="O58:O73" si="67">AK58/12*11</f>
        <v>279.58333333333337</v>
      </c>
      <c r="P58" s="189">
        <f>[4]увд!$AA$130</f>
        <v>192</v>
      </c>
      <c r="Q58" s="191">
        <f t="shared" si="2"/>
        <v>68.7</v>
      </c>
      <c r="R58" s="189">
        <f t="shared" ref="R58:R73" si="68">AN58/12*11</f>
        <v>0</v>
      </c>
      <c r="S58" s="189">
        <f>[4]увд!$G$130</f>
        <v>0</v>
      </c>
      <c r="T58" s="191"/>
      <c r="U58" s="189">
        <f t="shared" ref="U58:U73" si="69">AQ58/12*11</f>
        <v>0</v>
      </c>
      <c r="V58" s="189"/>
      <c r="W58" s="191"/>
      <c r="X58" s="227">
        <v>3373</v>
      </c>
      <c r="Y58" s="299">
        <v>1730</v>
      </c>
      <c r="Z58" s="308">
        <v>61.16</v>
      </c>
      <c r="AA58" s="309">
        <v>1026</v>
      </c>
      <c r="AB58" s="299">
        <v>728</v>
      </c>
      <c r="AC58" s="299">
        <v>37.799999999999997</v>
      </c>
      <c r="AD58" s="310"/>
      <c r="AE58" s="299">
        <f t="shared" ref="AE58:AE73" si="70">AD58*AF58/100</f>
        <v>0</v>
      </c>
      <c r="AF58" s="331">
        <v>41.5</v>
      </c>
      <c r="AG58" s="312">
        <v>2141</v>
      </c>
      <c r="AH58" s="299">
        <v>2111</v>
      </c>
      <c r="AI58" s="299">
        <v>41.5</v>
      </c>
      <c r="AJ58" s="313">
        <v>1400</v>
      </c>
      <c r="AK58" s="299">
        <v>305</v>
      </c>
      <c r="AL58" s="331">
        <v>41.5</v>
      </c>
      <c r="AM58" s="314"/>
      <c r="AN58" s="299"/>
      <c r="AO58" s="311">
        <v>41.5</v>
      </c>
      <c r="AP58" s="324"/>
      <c r="AQ58" s="299">
        <f t="shared" ref="AQ58:AQ72" si="71">VALUE(AP58*AR58/100)</f>
        <v>0</v>
      </c>
      <c r="AR58" s="225">
        <v>41.5</v>
      </c>
      <c r="AS58">
        <f t="shared" si="27"/>
        <v>0</v>
      </c>
    </row>
    <row r="59" spans="1:46" ht="15" customHeight="1" x14ac:dyDescent="0.2">
      <c r="A59" s="66">
        <v>47</v>
      </c>
      <c r="B59" s="67" t="s">
        <v>198</v>
      </c>
      <c r="C59" s="189">
        <f t="shared" si="63"/>
        <v>0</v>
      </c>
      <c r="D59" s="189">
        <f>[3]ФГУ!$C$130</f>
        <v>0</v>
      </c>
      <c r="E59" s="190"/>
      <c r="F59" s="189">
        <f t="shared" si="64"/>
        <v>0</v>
      </c>
      <c r="G59" s="189">
        <f>[3]ФГУ!$O$130</f>
        <v>0</v>
      </c>
      <c r="H59" s="191"/>
      <c r="I59" s="189">
        <f t="shared" si="65"/>
        <v>0</v>
      </c>
      <c r="J59" s="189">
        <f>[3]ФГУ!$W$130</f>
        <v>0</v>
      </c>
      <c r="K59" s="191"/>
      <c r="L59" s="189">
        <f t="shared" si="66"/>
        <v>0</v>
      </c>
      <c r="M59" s="189">
        <f>[3]ФГУ!$S$130</f>
        <v>0</v>
      </c>
      <c r="N59" s="191"/>
      <c r="O59" s="189">
        <f t="shared" si="67"/>
        <v>0</v>
      </c>
      <c r="P59" s="189">
        <f>[3]ФГУ!$AA$130</f>
        <v>0</v>
      </c>
      <c r="Q59" s="191" t="e">
        <f t="shared" si="2"/>
        <v>#DIV/0!</v>
      </c>
      <c r="R59" s="189">
        <f t="shared" si="68"/>
        <v>0</v>
      </c>
      <c r="S59" s="189">
        <f>[3]ФГУ!$G$130</f>
        <v>0</v>
      </c>
      <c r="T59" s="191"/>
      <c r="U59" s="189">
        <f t="shared" si="69"/>
        <v>0</v>
      </c>
      <c r="V59" s="189"/>
      <c r="W59" s="191"/>
      <c r="X59" s="227">
        <v>0</v>
      </c>
      <c r="Y59" s="299">
        <f t="shared" ref="Y59:Y72" si="72">VALUE(X59*Z59/100)</f>
        <v>0</v>
      </c>
      <c r="Z59" s="308">
        <v>52.12</v>
      </c>
      <c r="AA59" s="309"/>
      <c r="AB59" s="299">
        <f t="shared" ref="AB59:AB73" si="73">VALUE(AA59*AC59/100)</f>
        <v>0</v>
      </c>
      <c r="AC59" s="299"/>
      <c r="AD59" s="310"/>
      <c r="AE59" s="299">
        <f t="shared" si="70"/>
        <v>0</v>
      </c>
      <c r="AF59" s="331">
        <v>55.13</v>
      </c>
      <c r="AG59" s="312">
        <f>1407-300</f>
        <v>1107</v>
      </c>
      <c r="AH59" s="299">
        <v>0</v>
      </c>
      <c r="AI59" s="299">
        <v>55.13</v>
      </c>
      <c r="AJ59" s="313">
        <v>1000</v>
      </c>
      <c r="AK59" s="299">
        <v>0</v>
      </c>
      <c r="AL59" s="331">
        <v>55.13</v>
      </c>
      <c r="AM59" s="314"/>
      <c r="AN59" s="299"/>
      <c r="AO59" s="334">
        <f>54.1+1.03</f>
        <v>55.13</v>
      </c>
      <c r="AP59" s="324"/>
      <c r="AQ59" s="299">
        <f t="shared" si="71"/>
        <v>0</v>
      </c>
      <c r="AR59" s="237">
        <f>54.1+1.03</f>
        <v>55.13</v>
      </c>
      <c r="AS59">
        <f t="shared" si="27"/>
        <v>0</v>
      </c>
    </row>
    <row r="60" spans="1:46" ht="15" customHeight="1" x14ac:dyDescent="0.2">
      <c r="A60" s="66">
        <v>48</v>
      </c>
      <c r="B60" s="67" t="s">
        <v>199</v>
      </c>
      <c r="C60" s="189">
        <f t="shared" si="63"/>
        <v>0</v>
      </c>
      <c r="D60" s="189">
        <f>[3]ИК!$C$130</f>
        <v>0</v>
      </c>
      <c r="E60" s="190"/>
      <c r="F60" s="189">
        <f t="shared" si="64"/>
        <v>0</v>
      </c>
      <c r="G60" s="189">
        <f>[3]ИК!$O$130</f>
        <v>0</v>
      </c>
      <c r="H60" s="191"/>
      <c r="I60" s="189">
        <f t="shared" si="65"/>
        <v>0.42258333333333337</v>
      </c>
      <c r="J60" s="189">
        <f>[3]ИК!$W$130</f>
        <v>0</v>
      </c>
      <c r="K60" s="191"/>
      <c r="L60" s="189">
        <f t="shared" si="66"/>
        <v>0</v>
      </c>
      <c r="M60" s="189">
        <f>[3]ИК!$S$130</f>
        <v>0</v>
      </c>
      <c r="N60" s="191"/>
      <c r="O60" s="189">
        <f t="shared" si="67"/>
        <v>0</v>
      </c>
      <c r="P60" s="189">
        <f>[3]ИК!$AA$130</f>
        <v>0</v>
      </c>
      <c r="Q60" s="191" t="e">
        <f t="shared" si="2"/>
        <v>#DIV/0!</v>
      </c>
      <c r="R60" s="189">
        <f t="shared" si="68"/>
        <v>0</v>
      </c>
      <c r="S60" s="189">
        <f>[3]ИК!$G$130</f>
        <v>0</v>
      </c>
      <c r="T60" s="191"/>
      <c r="U60" s="189">
        <f t="shared" si="69"/>
        <v>0</v>
      </c>
      <c r="V60" s="189"/>
      <c r="W60" s="191"/>
      <c r="X60" s="227">
        <v>0</v>
      </c>
      <c r="Y60" s="299">
        <f t="shared" si="72"/>
        <v>0</v>
      </c>
      <c r="Z60" s="308">
        <v>52.12</v>
      </c>
      <c r="AA60" s="309"/>
      <c r="AB60" s="299">
        <f t="shared" si="73"/>
        <v>0</v>
      </c>
      <c r="AC60" s="299"/>
      <c r="AD60" s="310">
        <v>0</v>
      </c>
      <c r="AE60" s="299">
        <f>AD60*AF60/100+0.461</f>
        <v>0.46100000000000002</v>
      </c>
      <c r="AF60" s="331">
        <v>55.13</v>
      </c>
      <c r="AG60" s="312">
        <f>2345-650</f>
        <v>1695</v>
      </c>
      <c r="AH60" s="299">
        <v>0</v>
      </c>
      <c r="AI60" s="299">
        <v>55.13</v>
      </c>
      <c r="AJ60" s="313">
        <v>1000</v>
      </c>
      <c r="AK60" s="299">
        <v>0</v>
      </c>
      <c r="AL60" s="331">
        <v>55.13</v>
      </c>
      <c r="AM60" s="314"/>
      <c r="AN60" s="299"/>
      <c r="AO60" s="334">
        <f>54.1+1.03</f>
        <v>55.13</v>
      </c>
      <c r="AP60" s="324"/>
      <c r="AQ60" s="299">
        <f t="shared" si="71"/>
        <v>0</v>
      </c>
      <c r="AR60" s="237">
        <f>54.1+1.03</f>
        <v>55.13</v>
      </c>
      <c r="AS60">
        <f t="shared" si="27"/>
        <v>0</v>
      </c>
    </row>
    <row r="61" spans="1:46" ht="15" customHeight="1" x14ac:dyDescent="0.2">
      <c r="A61" s="66">
        <v>49</v>
      </c>
      <c r="B61" s="67" t="s">
        <v>200</v>
      </c>
      <c r="C61" s="189">
        <f t="shared" si="63"/>
        <v>0</v>
      </c>
      <c r="D61" s="189">
        <f>[2]цах!$C$130</f>
        <v>0</v>
      </c>
      <c r="E61" s="190"/>
      <c r="F61" s="189">
        <f t="shared" si="64"/>
        <v>528.91666666666674</v>
      </c>
      <c r="G61" s="189">
        <f>[2]цах!$O$130</f>
        <v>517</v>
      </c>
      <c r="H61" s="191">
        <f>ROUND(G61/F61*100,1)</f>
        <v>97.7</v>
      </c>
      <c r="I61" s="189">
        <f t="shared" si="65"/>
        <v>0</v>
      </c>
      <c r="J61" s="189">
        <f>[2]цах!$W$130</f>
        <v>0</v>
      </c>
      <c r="K61" s="191"/>
      <c r="L61" s="189">
        <f t="shared" si="66"/>
        <v>298.83333333333337</v>
      </c>
      <c r="M61" s="189">
        <f>[2]цах!$S$130</f>
        <v>91</v>
      </c>
      <c r="N61" s="191"/>
      <c r="O61" s="189">
        <f t="shared" si="67"/>
        <v>561.91666666666674</v>
      </c>
      <c r="P61" s="189">
        <f>[2]цах!$AA$130</f>
        <v>70</v>
      </c>
      <c r="Q61" s="191">
        <f t="shared" si="2"/>
        <v>12.5</v>
      </c>
      <c r="R61" s="189">
        <f t="shared" si="68"/>
        <v>0</v>
      </c>
      <c r="S61" s="189">
        <f>[2]цах!$G$130</f>
        <v>0</v>
      </c>
      <c r="T61" s="191"/>
      <c r="U61" s="189">
        <f t="shared" si="69"/>
        <v>0</v>
      </c>
      <c r="V61" s="189"/>
      <c r="W61" s="191"/>
      <c r="X61" s="222"/>
      <c r="Y61" s="299">
        <f t="shared" si="72"/>
        <v>0</v>
      </c>
      <c r="Z61" s="308"/>
      <c r="AA61" s="309">
        <v>2100</v>
      </c>
      <c r="AB61" s="299">
        <v>577</v>
      </c>
      <c r="AC61" s="299">
        <v>37.799999999999997</v>
      </c>
      <c r="AD61" s="310"/>
      <c r="AE61" s="299">
        <f t="shared" si="70"/>
        <v>0</v>
      </c>
      <c r="AF61" s="331">
        <v>55.13</v>
      </c>
      <c r="AG61" s="312">
        <f>50+950</f>
        <v>1000</v>
      </c>
      <c r="AH61" s="299">
        <v>326</v>
      </c>
      <c r="AI61" s="299">
        <v>55.13</v>
      </c>
      <c r="AJ61" s="313">
        <v>3600</v>
      </c>
      <c r="AK61" s="299">
        <v>613</v>
      </c>
      <c r="AL61" s="331">
        <v>55.13</v>
      </c>
      <c r="AM61" s="314"/>
      <c r="AN61" s="299"/>
      <c r="AO61" s="334">
        <f>54.1+1.03</f>
        <v>55.13</v>
      </c>
      <c r="AP61" s="324"/>
      <c r="AQ61" s="299">
        <f t="shared" si="71"/>
        <v>0</v>
      </c>
      <c r="AR61" s="237">
        <f>54.1+1.03</f>
        <v>55.13</v>
      </c>
      <c r="AS61">
        <f t="shared" si="27"/>
        <v>0</v>
      </c>
    </row>
    <row r="62" spans="1:46" ht="15" customHeight="1" x14ac:dyDescent="0.2">
      <c r="A62" s="66">
        <v>50</v>
      </c>
      <c r="B62" s="92" t="s">
        <v>98</v>
      </c>
      <c r="C62" s="189">
        <f t="shared" si="63"/>
        <v>0</v>
      </c>
      <c r="D62" s="189">
        <v>0</v>
      </c>
      <c r="E62" s="190"/>
      <c r="F62" s="189">
        <f t="shared" si="64"/>
        <v>0</v>
      </c>
      <c r="G62" s="189">
        <f>[4]ЦЕНТР!$O$130</f>
        <v>0</v>
      </c>
      <c r="H62" s="191"/>
      <c r="I62" s="189">
        <f t="shared" si="65"/>
        <v>0</v>
      </c>
      <c r="J62" s="189">
        <f>[4]ЦЕНТР!$W$130</f>
        <v>0</v>
      </c>
      <c r="K62" s="191"/>
      <c r="L62" s="189">
        <f t="shared" si="66"/>
        <v>2240.333333333333</v>
      </c>
      <c r="M62" s="189">
        <f>[4]ЦЕНТР!$S$130</f>
        <v>2531.58</v>
      </c>
      <c r="N62" s="191">
        <f>ROUND(M62/L62*100,1)</f>
        <v>113</v>
      </c>
      <c r="O62" s="189">
        <f t="shared" si="67"/>
        <v>0</v>
      </c>
      <c r="P62" s="189">
        <f>[4]ЦЕНТР!$AA$130</f>
        <v>0</v>
      </c>
      <c r="Q62" s="191"/>
      <c r="R62" s="189">
        <f t="shared" si="68"/>
        <v>0</v>
      </c>
      <c r="S62" s="189">
        <f>[4]ЦЕНТР!$G$130</f>
        <v>0</v>
      </c>
      <c r="T62" s="191"/>
      <c r="U62" s="189">
        <f t="shared" si="69"/>
        <v>0</v>
      </c>
      <c r="V62" s="189"/>
      <c r="W62" s="191"/>
      <c r="X62" s="222"/>
      <c r="Y62" s="299">
        <f t="shared" si="72"/>
        <v>0</v>
      </c>
      <c r="Z62" s="308"/>
      <c r="AA62" s="309"/>
      <c r="AB62" s="299">
        <f t="shared" si="73"/>
        <v>0</v>
      </c>
      <c r="AC62" s="299"/>
      <c r="AD62" s="310"/>
      <c r="AE62" s="299">
        <f t="shared" si="70"/>
        <v>0</v>
      </c>
      <c r="AF62" s="331">
        <v>28.18</v>
      </c>
      <c r="AG62" s="312">
        <v>5423</v>
      </c>
      <c r="AH62" s="299">
        <v>2444</v>
      </c>
      <c r="AI62" s="299">
        <v>28.18</v>
      </c>
      <c r="AJ62" s="313">
        <v>1808</v>
      </c>
      <c r="AK62" s="299">
        <v>0</v>
      </c>
      <c r="AL62" s="331">
        <v>28.18</v>
      </c>
      <c r="AM62" s="314"/>
      <c r="AN62" s="299"/>
      <c r="AO62" s="311">
        <v>28.18</v>
      </c>
      <c r="AP62" s="324"/>
      <c r="AQ62" s="299">
        <f t="shared" si="71"/>
        <v>0</v>
      </c>
      <c r="AR62" s="225">
        <v>28.18</v>
      </c>
      <c r="AS62">
        <f t="shared" si="27"/>
        <v>0</v>
      </c>
    </row>
    <row r="63" spans="1:46" ht="15" customHeight="1" x14ac:dyDescent="0.2">
      <c r="A63" s="66">
        <v>51</v>
      </c>
      <c r="B63" s="92" t="s">
        <v>99</v>
      </c>
      <c r="C63" s="189">
        <f t="shared" si="63"/>
        <v>0</v>
      </c>
      <c r="D63" s="189">
        <f>[2]ОПТИМА!$C$130</f>
        <v>0</v>
      </c>
      <c r="E63" s="190"/>
      <c r="F63" s="189">
        <f t="shared" si="64"/>
        <v>0</v>
      </c>
      <c r="G63" s="189">
        <f>[2]ОПТИМА!$O$130</f>
        <v>0</v>
      </c>
      <c r="H63" s="191"/>
      <c r="I63" s="189">
        <f t="shared" si="65"/>
        <v>0</v>
      </c>
      <c r="J63" s="189">
        <f>[2]ОПТИМА!$W$130</f>
        <v>0</v>
      </c>
      <c r="K63" s="191"/>
      <c r="L63" s="189">
        <f t="shared" si="66"/>
        <v>10929.416666666668</v>
      </c>
      <c r="M63" s="189">
        <f>[2]ОПТИМА!$S$130</f>
        <v>11982.779999999999</v>
      </c>
      <c r="N63" s="191">
        <f>ROUND(M63/L63*100,1)</f>
        <v>109.6</v>
      </c>
      <c r="O63" s="189">
        <f t="shared" si="67"/>
        <v>0</v>
      </c>
      <c r="P63" s="189">
        <f>[2]ОПТИМА!$AA$130</f>
        <v>0</v>
      </c>
      <c r="Q63" s="191"/>
      <c r="R63" s="189">
        <f t="shared" si="68"/>
        <v>0</v>
      </c>
      <c r="S63" s="189">
        <f>[2]ОПТИМА!$G$130</f>
        <v>0</v>
      </c>
      <c r="T63" s="191"/>
      <c r="U63" s="189">
        <f t="shared" si="69"/>
        <v>0</v>
      </c>
      <c r="V63" s="189"/>
      <c r="W63" s="191"/>
      <c r="X63" s="222"/>
      <c r="Y63" s="299">
        <f t="shared" si="72"/>
        <v>0</v>
      </c>
      <c r="Z63" s="308"/>
      <c r="AA63" s="309"/>
      <c r="AB63" s="299">
        <f t="shared" si="73"/>
        <v>0</v>
      </c>
      <c r="AC63" s="299"/>
      <c r="AD63" s="310"/>
      <c r="AE63" s="299">
        <f t="shared" si="70"/>
        <v>0</v>
      </c>
      <c r="AF63" s="331">
        <v>30.88</v>
      </c>
      <c r="AG63" s="312">
        <v>10500</v>
      </c>
      <c r="AH63" s="299">
        <v>11923</v>
      </c>
      <c r="AI63" s="299">
        <v>30.88</v>
      </c>
      <c r="AJ63" s="313">
        <v>3500</v>
      </c>
      <c r="AK63" s="299">
        <v>0</v>
      </c>
      <c r="AL63" s="331">
        <v>30.88</v>
      </c>
      <c r="AM63" s="314"/>
      <c r="AN63" s="299"/>
      <c r="AO63" s="311">
        <v>30.88</v>
      </c>
      <c r="AP63" s="324"/>
      <c r="AQ63" s="299">
        <f t="shared" si="71"/>
        <v>0</v>
      </c>
      <c r="AR63" s="225">
        <v>30.88</v>
      </c>
      <c r="AS63">
        <f t="shared" si="27"/>
        <v>0</v>
      </c>
    </row>
    <row r="64" spans="1:46" ht="15" customHeight="1" x14ac:dyDescent="0.2">
      <c r="A64" s="66">
        <v>52</v>
      </c>
      <c r="B64" s="92" t="s">
        <v>103</v>
      </c>
      <c r="C64" s="189">
        <f t="shared" si="63"/>
        <v>0</v>
      </c>
      <c r="D64" s="189">
        <f>[2]зуб!$C$130</f>
        <v>0</v>
      </c>
      <c r="E64" s="190"/>
      <c r="F64" s="189">
        <f t="shared" si="64"/>
        <v>0</v>
      </c>
      <c r="G64" s="189">
        <f>[2]зуб!$O$130</f>
        <v>0</v>
      </c>
      <c r="H64" s="191"/>
      <c r="I64" s="189">
        <f t="shared" si="65"/>
        <v>0</v>
      </c>
      <c r="J64" s="189">
        <f>[2]зуб!$W$130</f>
        <v>0</v>
      </c>
      <c r="K64" s="191"/>
      <c r="L64" s="189">
        <f t="shared" si="66"/>
        <v>9690.0833333333321</v>
      </c>
      <c r="M64" s="189">
        <f>[2]зуб!$S$130</f>
        <v>11006.669999999998</v>
      </c>
      <c r="N64" s="191">
        <f>ROUND(M64/L64*100,1)</f>
        <v>113.6</v>
      </c>
      <c r="O64" s="189">
        <f t="shared" si="67"/>
        <v>0</v>
      </c>
      <c r="P64" s="189">
        <f>[2]зуб!$AA$130</f>
        <v>0</v>
      </c>
      <c r="Q64" s="191"/>
      <c r="R64" s="189">
        <f t="shared" si="68"/>
        <v>0</v>
      </c>
      <c r="S64" s="189">
        <f>[2]зуб!$G$130</f>
        <v>0</v>
      </c>
      <c r="T64" s="191"/>
      <c r="U64" s="189">
        <f t="shared" si="69"/>
        <v>0</v>
      </c>
      <c r="V64" s="189"/>
      <c r="W64" s="191"/>
      <c r="X64" s="222"/>
      <c r="Y64" s="299">
        <f t="shared" si="72"/>
        <v>0</v>
      </c>
      <c r="Z64" s="308"/>
      <c r="AA64" s="309"/>
      <c r="AB64" s="299">
        <f t="shared" si="73"/>
        <v>0</v>
      </c>
      <c r="AC64" s="299"/>
      <c r="AD64" s="310"/>
      <c r="AE64" s="299">
        <f t="shared" si="70"/>
        <v>0</v>
      </c>
      <c r="AF64" s="331">
        <v>34.17</v>
      </c>
      <c r="AG64" s="312">
        <v>13933</v>
      </c>
      <c r="AH64" s="299">
        <v>10571</v>
      </c>
      <c r="AI64" s="299">
        <v>34.17</v>
      </c>
      <c r="AJ64" s="313">
        <v>4640</v>
      </c>
      <c r="AK64" s="299">
        <v>0</v>
      </c>
      <c r="AL64" s="331">
        <v>34.17</v>
      </c>
      <c r="AM64" s="314"/>
      <c r="AN64" s="299"/>
      <c r="AO64" s="311">
        <v>34.17</v>
      </c>
      <c r="AP64" s="324"/>
      <c r="AQ64" s="299">
        <f t="shared" si="71"/>
        <v>0</v>
      </c>
      <c r="AR64" s="225">
        <v>34.17</v>
      </c>
      <c r="AS64">
        <f t="shared" si="27"/>
        <v>0</v>
      </c>
    </row>
    <row r="65" spans="1:46" ht="15" customHeight="1" x14ac:dyDescent="0.2">
      <c r="A65" s="66">
        <v>53</v>
      </c>
      <c r="B65" s="92" t="s">
        <v>268</v>
      </c>
      <c r="C65" s="189">
        <f t="shared" si="63"/>
        <v>0</v>
      </c>
      <c r="D65" s="189">
        <f>[2]ПРОЗР!$C$130</f>
        <v>0</v>
      </c>
      <c r="E65" s="190"/>
      <c r="F65" s="189">
        <f t="shared" si="64"/>
        <v>0</v>
      </c>
      <c r="G65" s="189">
        <f>[2]ПРОЗР!$O$130</f>
        <v>0</v>
      </c>
      <c r="H65" s="191"/>
      <c r="I65" s="189">
        <f t="shared" si="65"/>
        <v>0</v>
      </c>
      <c r="J65" s="189">
        <f>[2]ПРОЗР!$W$130</f>
        <v>0</v>
      </c>
      <c r="K65" s="191"/>
      <c r="L65" s="189">
        <f t="shared" si="66"/>
        <v>1438.25</v>
      </c>
      <c r="M65" s="189">
        <f>[2]ПРОЗР!$S$130</f>
        <v>1009</v>
      </c>
      <c r="N65" s="191">
        <f>ROUND(M65/L65*100,1)</f>
        <v>70.2</v>
      </c>
      <c r="O65" s="189">
        <f t="shared" si="67"/>
        <v>0</v>
      </c>
      <c r="P65" s="189">
        <f>[2]ПРОЗР!$AA$130</f>
        <v>0</v>
      </c>
      <c r="Q65" s="191"/>
      <c r="R65" s="189">
        <f t="shared" si="68"/>
        <v>0</v>
      </c>
      <c r="S65" s="189">
        <f>[2]ПРОЗР!$G$130</f>
        <v>0</v>
      </c>
      <c r="T65" s="191"/>
      <c r="U65" s="189">
        <f t="shared" si="69"/>
        <v>0</v>
      </c>
      <c r="V65" s="189"/>
      <c r="W65" s="191"/>
      <c r="X65" s="222"/>
      <c r="Y65" s="299">
        <f t="shared" si="72"/>
        <v>0</v>
      </c>
      <c r="Z65" s="308"/>
      <c r="AA65" s="309"/>
      <c r="AB65" s="299">
        <f t="shared" si="73"/>
        <v>0</v>
      </c>
      <c r="AC65" s="299"/>
      <c r="AD65" s="310"/>
      <c r="AE65" s="299">
        <f t="shared" si="70"/>
        <v>0</v>
      </c>
      <c r="AF65" s="331">
        <v>70.150000000000006</v>
      </c>
      <c r="AG65" s="312">
        <v>1550</v>
      </c>
      <c r="AH65" s="299">
        <v>1569</v>
      </c>
      <c r="AI65" s="299">
        <v>70.150000000000006</v>
      </c>
      <c r="AJ65" s="313">
        <v>0</v>
      </c>
      <c r="AK65" s="299">
        <v>0</v>
      </c>
      <c r="AL65" s="331">
        <v>70.150000000000006</v>
      </c>
      <c r="AM65" s="314"/>
      <c r="AN65" s="299"/>
      <c r="AO65" s="311">
        <v>70.150000000000006</v>
      </c>
      <c r="AP65" s="324"/>
      <c r="AQ65" s="299">
        <f t="shared" si="71"/>
        <v>0</v>
      </c>
      <c r="AR65" s="225">
        <v>70.150000000000006</v>
      </c>
      <c r="AS65">
        <f t="shared" si="27"/>
        <v>0</v>
      </c>
    </row>
    <row r="66" spans="1:46" ht="15" customHeight="1" x14ac:dyDescent="0.2">
      <c r="A66" s="66">
        <v>54</v>
      </c>
      <c r="B66" s="92" t="s">
        <v>180</v>
      </c>
      <c r="C66" s="189">
        <f t="shared" si="63"/>
        <v>0</v>
      </c>
      <c r="D66" s="189">
        <f>[2]КРИСТ!$C$130</f>
        <v>0</v>
      </c>
      <c r="E66" s="190"/>
      <c r="F66" s="189">
        <f t="shared" si="64"/>
        <v>0</v>
      </c>
      <c r="G66" s="189"/>
      <c r="H66" s="191"/>
      <c r="I66" s="189">
        <f t="shared" si="65"/>
        <v>0</v>
      </c>
      <c r="J66" s="189">
        <f>[2]стдв!$W$130</f>
        <v>0</v>
      </c>
      <c r="K66" s="191"/>
      <c r="L66" s="189">
        <f t="shared" si="66"/>
        <v>3065.3333333333335</v>
      </c>
      <c r="M66" s="189">
        <f>[2]стдв!$S$130</f>
        <v>3255.84</v>
      </c>
      <c r="N66" s="191"/>
      <c r="O66" s="189">
        <f t="shared" si="67"/>
        <v>0</v>
      </c>
      <c r="P66" s="189">
        <f>[2]стдв!$AA$130</f>
        <v>0</v>
      </c>
      <c r="Q66" s="191"/>
      <c r="R66" s="189">
        <f t="shared" si="68"/>
        <v>0</v>
      </c>
      <c r="S66" s="189">
        <f>[2]стдв!$G$130</f>
        <v>0</v>
      </c>
      <c r="T66" s="191"/>
      <c r="U66" s="189">
        <f t="shared" si="69"/>
        <v>0</v>
      </c>
      <c r="V66" s="189"/>
      <c r="W66" s="191"/>
      <c r="X66" s="222"/>
      <c r="Y66" s="299">
        <f t="shared" si="72"/>
        <v>0</v>
      </c>
      <c r="Z66" s="308"/>
      <c r="AA66" s="309"/>
      <c r="AB66" s="299">
        <f t="shared" si="73"/>
        <v>0</v>
      </c>
      <c r="AC66" s="299"/>
      <c r="AD66" s="310"/>
      <c r="AE66" s="299">
        <f t="shared" si="70"/>
        <v>0</v>
      </c>
      <c r="AF66" s="331">
        <v>55.13</v>
      </c>
      <c r="AG66" s="312">
        <v>0</v>
      </c>
      <c r="AH66" s="299">
        <v>3344</v>
      </c>
      <c r="AI66" s="299">
        <v>55.13</v>
      </c>
      <c r="AJ66" s="313">
        <v>1450</v>
      </c>
      <c r="AK66" s="299">
        <v>0</v>
      </c>
      <c r="AL66" s="331">
        <v>55.13</v>
      </c>
      <c r="AM66" s="314"/>
      <c r="AN66" s="299"/>
      <c r="AO66" s="311">
        <v>55.13</v>
      </c>
      <c r="AP66" s="324"/>
      <c r="AQ66" s="299">
        <f t="shared" si="71"/>
        <v>0</v>
      </c>
      <c r="AR66" s="225">
        <v>55.13</v>
      </c>
      <c r="AS66">
        <f t="shared" si="27"/>
        <v>0</v>
      </c>
    </row>
    <row r="67" spans="1:46" ht="15" customHeight="1" x14ac:dyDescent="0.2">
      <c r="A67" s="66">
        <v>55</v>
      </c>
      <c r="B67" s="92" t="s">
        <v>112</v>
      </c>
      <c r="C67" s="189">
        <f t="shared" si="63"/>
        <v>0</v>
      </c>
      <c r="D67" s="189">
        <f>[2]КРИСТ!$C$130</f>
        <v>0</v>
      </c>
      <c r="E67" s="190"/>
      <c r="F67" s="189">
        <f t="shared" si="64"/>
        <v>0</v>
      </c>
      <c r="G67" s="189">
        <f>[2]КРИСТ!$O$130</f>
        <v>0</v>
      </c>
      <c r="H67" s="191"/>
      <c r="I67" s="189">
        <f t="shared" si="65"/>
        <v>0</v>
      </c>
      <c r="J67" s="189">
        <f>[2]КРИСТ!$W$130</f>
        <v>0</v>
      </c>
      <c r="K67" s="191"/>
      <c r="L67" s="189">
        <f t="shared" si="66"/>
        <v>15807</v>
      </c>
      <c r="M67" s="189">
        <f>[2]КРИСТ!$S$130</f>
        <v>16973.39</v>
      </c>
      <c r="N67" s="191">
        <f>ROUND(M67/L67*100,1)</f>
        <v>107.4</v>
      </c>
      <c r="O67" s="189">
        <f t="shared" si="67"/>
        <v>0</v>
      </c>
      <c r="P67" s="189">
        <f>[2]КРИСТ!$AA$130</f>
        <v>0</v>
      </c>
      <c r="Q67" s="191"/>
      <c r="R67" s="189">
        <f t="shared" si="68"/>
        <v>0</v>
      </c>
      <c r="S67" s="189">
        <f>[2]КРИСТ!$G$130</f>
        <v>0</v>
      </c>
      <c r="T67" s="191"/>
      <c r="U67" s="189">
        <f t="shared" si="69"/>
        <v>0</v>
      </c>
      <c r="V67" s="189"/>
      <c r="W67" s="191"/>
      <c r="X67" s="222"/>
      <c r="Y67" s="299">
        <f t="shared" si="72"/>
        <v>0</v>
      </c>
      <c r="Z67" s="308"/>
      <c r="AA67" s="309"/>
      <c r="AB67" s="299">
        <f t="shared" si="73"/>
        <v>0</v>
      </c>
      <c r="AC67" s="299"/>
      <c r="AD67" s="310"/>
      <c r="AE67" s="299">
        <f t="shared" si="70"/>
        <v>0</v>
      </c>
      <c r="AF67" s="331">
        <v>32.270000000000003</v>
      </c>
      <c r="AG67" s="312">
        <v>23795</v>
      </c>
      <c r="AH67" s="299">
        <v>17244</v>
      </c>
      <c r="AI67" s="299">
        <v>32.270000000000003</v>
      </c>
      <c r="AJ67" s="313">
        <v>7089</v>
      </c>
      <c r="AK67" s="299">
        <v>0</v>
      </c>
      <c r="AL67" s="331">
        <v>32.270000000000003</v>
      </c>
      <c r="AM67" s="314"/>
      <c r="AN67" s="299"/>
      <c r="AO67" s="311">
        <v>32.270000000000003</v>
      </c>
      <c r="AP67" s="324"/>
      <c r="AQ67" s="299">
        <f t="shared" si="71"/>
        <v>0</v>
      </c>
      <c r="AR67" s="225">
        <v>32.270000000000003</v>
      </c>
      <c r="AS67">
        <f t="shared" si="27"/>
        <v>0</v>
      </c>
    </row>
    <row r="68" spans="1:46" ht="15" customHeight="1" x14ac:dyDescent="0.2">
      <c r="A68" s="66">
        <v>56</v>
      </c>
      <c r="B68" s="67" t="s">
        <v>134</v>
      </c>
      <c r="C68" s="189">
        <f t="shared" si="63"/>
        <v>0</v>
      </c>
      <c r="D68" s="189">
        <f>[2]чародей!$C$130</f>
        <v>0</v>
      </c>
      <c r="E68" s="190"/>
      <c r="F68" s="189">
        <f t="shared" si="64"/>
        <v>0</v>
      </c>
      <c r="G68" s="189">
        <f>[2]чародей!$O$130</f>
        <v>0</v>
      </c>
      <c r="H68" s="191"/>
      <c r="I68" s="189">
        <f t="shared" si="65"/>
        <v>0</v>
      </c>
      <c r="J68" s="189">
        <f>[2]чародей!$W$130</f>
        <v>0</v>
      </c>
      <c r="K68" s="191"/>
      <c r="L68" s="189">
        <f t="shared" si="66"/>
        <v>6251.666666666667</v>
      </c>
      <c r="M68" s="189">
        <f>[2]чародей!$S$130</f>
        <v>6845.2099999999991</v>
      </c>
      <c r="N68" s="191">
        <f>ROUND(M68/L68*100,1)</f>
        <v>109.5</v>
      </c>
      <c r="O68" s="189">
        <f t="shared" si="67"/>
        <v>0</v>
      </c>
      <c r="P68" s="189">
        <f>[2]чародей!$AA$130</f>
        <v>0</v>
      </c>
      <c r="Q68" s="191"/>
      <c r="R68" s="189">
        <f t="shared" si="68"/>
        <v>0</v>
      </c>
      <c r="S68" s="189">
        <f>[2]чародей!$G$130</f>
        <v>0</v>
      </c>
      <c r="T68" s="191"/>
      <c r="U68" s="189">
        <f t="shared" si="69"/>
        <v>0</v>
      </c>
      <c r="V68" s="189"/>
      <c r="W68" s="191"/>
      <c r="X68" s="222"/>
      <c r="Y68" s="299">
        <f t="shared" si="72"/>
        <v>0</v>
      </c>
      <c r="Z68" s="308"/>
      <c r="AA68" s="309"/>
      <c r="AB68" s="299">
        <f t="shared" si="73"/>
        <v>0</v>
      </c>
      <c r="AC68" s="299"/>
      <c r="AD68" s="310"/>
      <c r="AE68" s="299">
        <f t="shared" si="70"/>
        <v>0</v>
      </c>
      <c r="AF68" s="331">
        <v>32.119999999999997</v>
      </c>
      <c r="AG68" s="312">
        <v>10647</v>
      </c>
      <c r="AH68" s="299">
        <v>6820</v>
      </c>
      <c r="AI68" s="299">
        <v>32.119999999999997</v>
      </c>
      <c r="AJ68" s="313">
        <v>3172</v>
      </c>
      <c r="AK68" s="299">
        <v>0</v>
      </c>
      <c r="AL68" s="331">
        <v>32.119999999999997</v>
      </c>
      <c r="AM68" s="314"/>
      <c r="AN68" s="299"/>
      <c r="AO68" s="311">
        <v>32.119999999999997</v>
      </c>
      <c r="AP68" s="324"/>
      <c r="AQ68" s="299">
        <f t="shared" si="71"/>
        <v>0</v>
      </c>
      <c r="AR68" s="225">
        <v>32.119999999999997</v>
      </c>
      <c r="AS68">
        <f t="shared" si="27"/>
        <v>0</v>
      </c>
    </row>
    <row r="69" spans="1:46" ht="15" customHeight="1" x14ac:dyDescent="0.2">
      <c r="A69" s="66">
        <v>57</v>
      </c>
      <c r="B69" s="67" t="s">
        <v>135</v>
      </c>
      <c r="C69" s="189">
        <f t="shared" si="63"/>
        <v>0</v>
      </c>
      <c r="D69" s="189">
        <f>[2]эстетика!$C$130</f>
        <v>0</v>
      </c>
      <c r="E69" s="190"/>
      <c r="F69" s="189">
        <f t="shared" si="64"/>
        <v>0</v>
      </c>
      <c r="G69" s="189">
        <f>[2]эстетика!$O$130</f>
        <v>0</v>
      </c>
      <c r="H69" s="191"/>
      <c r="I69" s="189">
        <f t="shared" si="65"/>
        <v>0</v>
      </c>
      <c r="J69" s="189">
        <f>[2]эстетика!$W$130</f>
        <v>0</v>
      </c>
      <c r="K69" s="191"/>
      <c r="L69" s="189">
        <f t="shared" si="66"/>
        <v>2580.416666666667</v>
      </c>
      <c r="M69" s="189">
        <f>[2]эстетика!$S$130</f>
        <v>2713.97</v>
      </c>
      <c r="N69" s="191">
        <f>ROUND(M69/L69*100,1)</f>
        <v>105.2</v>
      </c>
      <c r="O69" s="189">
        <f t="shared" si="67"/>
        <v>0</v>
      </c>
      <c r="P69" s="189">
        <f>[2]эстетика!$AA$130</f>
        <v>0</v>
      </c>
      <c r="Q69" s="191"/>
      <c r="R69" s="189">
        <f t="shared" si="68"/>
        <v>0</v>
      </c>
      <c r="S69" s="189">
        <f>[2]эстетика!$G$130</f>
        <v>0</v>
      </c>
      <c r="T69" s="191"/>
      <c r="U69" s="189">
        <f t="shared" si="69"/>
        <v>0</v>
      </c>
      <c r="V69" s="189"/>
      <c r="W69" s="191"/>
      <c r="X69" s="222"/>
      <c r="Y69" s="299">
        <f t="shared" si="72"/>
        <v>0</v>
      </c>
      <c r="Z69" s="308"/>
      <c r="AA69" s="309"/>
      <c r="AB69" s="299">
        <f t="shared" si="73"/>
        <v>0</v>
      </c>
      <c r="AC69" s="299"/>
      <c r="AD69" s="310"/>
      <c r="AE69" s="299">
        <f t="shared" si="70"/>
        <v>0</v>
      </c>
      <c r="AF69" s="331">
        <v>33.6</v>
      </c>
      <c r="AG69" s="312">
        <v>4130</v>
      </c>
      <c r="AH69" s="299">
        <v>2815</v>
      </c>
      <c r="AI69" s="299">
        <v>33.6</v>
      </c>
      <c r="AJ69" s="313">
        <v>1231</v>
      </c>
      <c r="AK69" s="299">
        <v>0</v>
      </c>
      <c r="AL69" s="331">
        <v>33.6</v>
      </c>
      <c r="AM69" s="314"/>
      <c r="AN69" s="299"/>
      <c r="AO69" s="311">
        <v>33.6</v>
      </c>
      <c r="AP69" s="324"/>
      <c r="AQ69" s="299">
        <f t="shared" si="71"/>
        <v>0</v>
      </c>
      <c r="AR69" s="225">
        <v>33.6</v>
      </c>
      <c r="AS69">
        <f t="shared" si="27"/>
        <v>0</v>
      </c>
    </row>
    <row r="70" spans="1:46" ht="15" customHeight="1" x14ac:dyDescent="0.2">
      <c r="A70" s="66">
        <v>58</v>
      </c>
      <c r="B70" s="67" t="s">
        <v>179</v>
      </c>
      <c r="C70" s="189">
        <f t="shared" si="63"/>
        <v>0</v>
      </c>
      <c r="D70" s="189">
        <f>[3]АЗИМУТ!$C$130</f>
        <v>0</v>
      </c>
      <c r="E70" s="190"/>
      <c r="F70" s="189">
        <f t="shared" si="64"/>
        <v>0</v>
      </c>
      <c r="G70" s="189">
        <f>[3]АЗИМУТ!$O$130</f>
        <v>0</v>
      </c>
      <c r="H70" s="191"/>
      <c r="I70" s="189">
        <f t="shared" si="65"/>
        <v>0</v>
      </c>
      <c r="J70" s="189">
        <f>[3]АЗИМУТ!$W$130</f>
        <v>0</v>
      </c>
      <c r="K70" s="191"/>
      <c r="L70" s="189">
        <f t="shared" si="66"/>
        <v>0</v>
      </c>
      <c r="M70" s="189">
        <f>[3]АЗИМУТ!$S$130</f>
        <v>0</v>
      </c>
      <c r="N70" s="191"/>
      <c r="O70" s="189">
        <f t="shared" si="67"/>
        <v>0</v>
      </c>
      <c r="P70" s="189">
        <f>[3]АЗИМУТ!$AA$130</f>
        <v>0</v>
      </c>
      <c r="Q70" s="191"/>
      <c r="R70" s="189">
        <f t="shared" si="68"/>
        <v>0</v>
      </c>
      <c r="S70" s="189">
        <f>[3]АЗИМУТ!$G$130</f>
        <v>0</v>
      </c>
      <c r="T70" s="191"/>
      <c r="U70" s="189">
        <f t="shared" si="69"/>
        <v>0</v>
      </c>
      <c r="V70" s="189"/>
      <c r="W70" s="191"/>
      <c r="X70" s="222"/>
      <c r="Y70" s="299">
        <f t="shared" si="72"/>
        <v>0</v>
      </c>
      <c r="Z70" s="308"/>
      <c r="AA70" s="309"/>
      <c r="AB70" s="299">
        <f t="shared" si="73"/>
        <v>0</v>
      </c>
      <c r="AC70" s="299"/>
      <c r="AD70" s="310"/>
      <c r="AE70" s="299">
        <f t="shared" si="70"/>
        <v>0</v>
      </c>
      <c r="AF70" s="331">
        <v>55.13</v>
      </c>
      <c r="AG70" s="312">
        <v>0</v>
      </c>
      <c r="AH70" s="299">
        <f>AG70*AI70/100</f>
        <v>0</v>
      </c>
      <c r="AI70" s="299">
        <v>55.13</v>
      </c>
      <c r="AJ70" s="313">
        <v>640</v>
      </c>
      <c r="AK70" s="299">
        <v>0</v>
      </c>
      <c r="AL70" s="331">
        <v>55.13</v>
      </c>
      <c r="AM70" s="314"/>
      <c r="AN70" s="299"/>
      <c r="AO70" s="334">
        <f>54.1+1.03</f>
        <v>55.13</v>
      </c>
      <c r="AP70" s="324"/>
      <c r="AQ70" s="299">
        <f t="shared" si="71"/>
        <v>0</v>
      </c>
      <c r="AR70" s="237">
        <f>54.1+1.03</f>
        <v>55.13</v>
      </c>
      <c r="AS70">
        <f t="shared" si="27"/>
        <v>0</v>
      </c>
    </row>
    <row r="71" spans="1:46" ht="15" customHeight="1" x14ac:dyDescent="0.2">
      <c r="A71" s="67">
        <v>59</v>
      </c>
      <c r="B71" s="67" t="s">
        <v>216</v>
      </c>
      <c r="C71" s="189">
        <f t="shared" si="63"/>
        <v>0</v>
      </c>
      <c r="D71" s="189">
        <f>[3]БОБ!$C$130</f>
        <v>0</v>
      </c>
      <c r="E71" s="190"/>
      <c r="F71" s="189">
        <f t="shared" si="64"/>
        <v>1865.4166666666667</v>
      </c>
      <c r="G71" s="189">
        <f>[3]БОБ!$O$130</f>
        <v>1717</v>
      </c>
      <c r="H71" s="191">
        <f>ROUND(G71/F71*100,1)</f>
        <v>92</v>
      </c>
      <c r="I71" s="189">
        <f t="shared" si="65"/>
        <v>0</v>
      </c>
      <c r="J71" s="189">
        <f>[3]БОБ!$W$130</f>
        <v>0</v>
      </c>
      <c r="K71" s="191"/>
      <c r="L71" s="189">
        <f t="shared" si="66"/>
        <v>4985.75</v>
      </c>
      <c r="M71" s="189">
        <f>[3]БОБ!$S$130</f>
        <v>4780.42</v>
      </c>
      <c r="N71" s="191">
        <f>ROUND(M71/L71*100,1)</f>
        <v>95.9</v>
      </c>
      <c r="O71" s="189">
        <f t="shared" si="67"/>
        <v>941.41666666666663</v>
      </c>
      <c r="P71" s="189">
        <f>[3]БОБ!$AA$130</f>
        <v>754</v>
      </c>
      <c r="Q71" s="191">
        <f>ROUND(P71/O71*100,1)</f>
        <v>80.099999999999994</v>
      </c>
      <c r="R71" s="189">
        <f t="shared" si="68"/>
        <v>0</v>
      </c>
      <c r="S71" s="189">
        <f>[3]БОБ!$G$130</f>
        <v>0</v>
      </c>
      <c r="T71" s="191"/>
      <c r="U71" s="189">
        <f t="shared" si="69"/>
        <v>0</v>
      </c>
      <c r="V71" s="189"/>
      <c r="W71" s="191"/>
      <c r="X71" s="222"/>
      <c r="Y71" s="299">
        <f t="shared" si="72"/>
        <v>0</v>
      </c>
      <c r="Z71" s="308"/>
      <c r="AA71" s="309">
        <v>5000</v>
      </c>
      <c r="AB71" s="299">
        <v>2035</v>
      </c>
      <c r="AC71" s="299">
        <v>44.65</v>
      </c>
      <c r="AD71" s="310"/>
      <c r="AE71" s="299">
        <f t="shared" si="70"/>
        <v>0</v>
      </c>
      <c r="AF71" s="331">
        <v>40.51</v>
      </c>
      <c r="AG71" s="312">
        <v>8232</v>
      </c>
      <c r="AH71" s="299">
        <v>5439</v>
      </c>
      <c r="AI71" s="299">
        <v>40.51</v>
      </c>
      <c r="AJ71" s="313">
        <v>7200</v>
      </c>
      <c r="AK71" s="299">
        <v>1027</v>
      </c>
      <c r="AL71" s="331">
        <v>40.51</v>
      </c>
      <c r="AM71" s="314"/>
      <c r="AN71" s="299"/>
      <c r="AO71" s="311">
        <v>40.51</v>
      </c>
      <c r="AP71" s="324"/>
      <c r="AQ71" s="299">
        <f t="shared" si="71"/>
        <v>0</v>
      </c>
      <c r="AR71" s="225">
        <v>40.51</v>
      </c>
      <c r="AS71">
        <f t="shared" si="27"/>
        <v>0</v>
      </c>
    </row>
    <row r="72" spans="1:46" ht="15" customHeight="1" x14ac:dyDescent="0.2">
      <c r="A72" s="67">
        <v>60</v>
      </c>
      <c r="B72" s="67" t="s">
        <v>217</v>
      </c>
      <c r="C72" s="189">
        <f t="shared" si="63"/>
        <v>0</v>
      </c>
      <c r="D72" s="189">
        <f>[3]УзШ!$C$130</f>
        <v>0</v>
      </c>
      <c r="E72" s="190"/>
      <c r="F72" s="189">
        <f t="shared" si="64"/>
        <v>1543.6666666666667</v>
      </c>
      <c r="G72" s="189">
        <f>[3]УзШ!$O$130</f>
        <v>1366</v>
      </c>
      <c r="H72" s="191">
        <f>ROUND(G72/F72*100,1)</f>
        <v>88.5</v>
      </c>
      <c r="I72" s="189">
        <f t="shared" si="65"/>
        <v>0</v>
      </c>
      <c r="J72" s="189">
        <f>[3]УзШ!$W$130</f>
        <v>0</v>
      </c>
      <c r="K72" s="191"/>
      <c r="L72" s="189">
        <f t="shared" si="66"/>
        <v>4682.3333333333339</v>
      </c>
      <c r="M72" s="189">
        <f>[3]УзШ!$S$130</f>
        <v>4550.16</v>
      </c>
      <c r="N72" s="191">
        <f>ROUND(M72/L72*100,1)</f>
        <v>97.2</v>
      </c>
      <c r="O72" s="189">
        <f t="shared" si="67"/>
        <v>1080.75</v>
      </c>
      <c r="P72" s="189">
        <f>[3]УзШ!$AA$130</f>
        <v>807</v>
      </c>
      <c r="Q72" s="191">
        <f>ROUND(P72/O72*100,1)</f>
        <v>74.7</v>
      </c>
      <c r="R72" s="189">
        <f t="shared" si="68"/>
        <v>0</v>
      </c>
      <c r="S72" s="189">
        <f>[3]УзШ!$G$130</f>
        <v>0</v>
      </c>
      <c r="T72" s="191"/>
      <c r="U72" s="189">
        <f t="shared" si="69"/>
        <v>0</v>
      </c>
      <c r="V72" s="189"/>
      <c r="W72" s="191"/>
      <c r="X72" s="222"/>
      <c r="Y72" s="299">
        <f t="shared" si="72"/>
        <v>0</v>
      </c>
      <c r="Z72" s="308"/>
      <c r="AA72" s="309">
        <v>3000</v>
      </c>
      <c r="AB72" s="299">
        <v>1684</v>
      </c>
      <c r="AC72" s="299">
        <v>59.26</v>
      </c>
      <c r="AD72" s="310"/>
      <c r="AE72" s="299">
        <f t="shared" si="70"/>
        <v>0</v>
      </c>
      <c r="AF72" s="331">
        <v>41.37</v>
      </c>
      <c r="AG72" s="312">
        <v>8665</v>
      </c>
      <c r="AH72" s="299">
        <v>5108</v>
      </c>
      <c r="AI72" s="299">
        <v>41.37</v>
      </c>
      <c r="AJ72" s="313">
        <v>5505</v>
      </c>
      <c r="AK72" s="299">
        <v>1179</v>
      </c>
      <c r="AL72" s="331">
        <v>41.37</v>
      </c>
      <c r="AM72" s="314"/>
      <c r="AN72" s="299"/>
      <c r="AO72" s="311">
        <v>41.37</v>
      </c>
      <c r="AP72" s="324"/>
      <c r="AQ72" s="299">
        <f t="shared" si="71"/>
        <v>0</v>
      </c>
      <c r="AR72" s="225">
        <v>41.37</v>
      </c>
      <c r="AS72">
        <f t="shared" si="27"/>
        <v>0</v>
      </c>
    </row>
    <row r="73" spans="1:46" ht="15" customHeight="1" x14ac:dyDescent="0.2">
      <c r="A73" s="67">
        <v>61</v>
      </c>
      <c r="B73" s="67" t="s">
        <v>215</v>
      </c>
      <c r="C73" s="189">
        <f t="shared" si="63"/>
        <v>1457.5</v>
      </c>
      <c r="D73" s="189">
        <f>[2]НЭС!$C$130</f>
        <v>1264</v>
      </c>
      <c r="E73" s="190">
        <f>D73/C73*100</f>
        <v>86.723842195540314</v>
      </c>
      <c r="F73" s="189">
        <f t="shared" si="64"/>
        <v>0</v>
      </c>
      <c r="G73" s="189">
        <f>[2]НЭС!$O$130</f>
        <v>0</v>
      </c>
      <c r="H73" s="191"/>
      <c r="I73" s="189">
        <f t="shared" si="65"/>
        <v>0</v>
      </c>
      <c r="J73" s="189">
        <f>[2]НЭС!$W$130</f>
        <v>0</v>
      </c>
      <c r="K73" s="191"/>
      <c r="L73" s="189">
        <f t="shared" si="66"/>
        <v>1265</v>
      </c>
      <c r="M73" s="189">
        <f>[2]НЭС!$S$130</f>
        <v>944</v>
      </c>
      <c r="N73" s="191">
        <f>ROUND(M73/L73*100,1)</f>
        <v>74.599999999999994</v>
      </c>
      <c r="O73" s="189">
        <f t="shared" si="67"/>
        <v>0</v>
      </c>
      <c r="P73" s="189">
        <f>[2]НЭС!$AA$130</f>
        <v>0</v>
      </c>
      <c r="Q73" s="191"/>
      <c r="R73" s="189">
        <f t="shared" si="68"/>
        <v>0</v>
      </c>
      <c r="S73" s="189">
        <f>[2]НЭС!$G$130</f>
        <v>0</v>
      </c>
      <c r="T73" s="191"/>
      <c r="U73" s="189">
        <f t="shared" si="69"/>
        <v>5203.9166666666661</v>
      </c>
      <c r="V73" s="189">
        <f>[2]НЭС!$K$130</f>
        <v>5432</v>
      </c>
      <c r="W73" s="191">
        <f>ROUND(V73/U73*100,1)</f>
        <v>104.4</v>
      </c>
      <c r="X73" s="248">
        <v>4000</v>
      </c>
      <c r="Y73" s="299">
        <v>1590</v>
      </c>
      <c r="Z73" s="308">
        <v>52.12</v>
      </c>
      <c r="AA73" s="316"/>
      <c r="AB73" s="299">
        <f t="shared" si="73"/>
        <v>0</v>
      </c>
      <c r="AC73" s="299"/>
      <c r="AD73" s="318"/>
      <c r="AE73" s="299">
        <f t="shared" si="70"/>
        <v>0</v>
      </c>
      <c r="AF73" s="331">
        <v>55.13</v>
      </c>
      <c r="AG73" s="320">
        <v>5000</v>
      </c>
      <c r="AH73" s="299">
        <v>1380</v>
      </c>
      <c r="AI73" s="299">
        <v>55.13</v>
      </c>
      <c r="AJ73" s="313">
        <v>0</v>
      </c>
      <c r="AK73" s="299">
        <f>VALUE(AJ73*AL73/100)</f>
        <v>0</v>
      </c>
      <c r="AL73" s="331">
        <v>55.13</v>
      </c>
      <c r="AM73" s="322"/>
      <c r="AN73" s="317"/>
      <c r="AO73" s="334">
        <f>54.1+1.03</f>
        <v>55.13</v>
      </c>
      <c r="AP73" s="328">
        <v>10762</v>
      </c>
      <c r="AQ73" s="299">
        <v>5677</v>
      </c>
      <c r="AR73" s="237">
        <f>54.1+1.03</f>
        <v>55.13</v>
      </c>
      <c r="AS73">
        <f t="shared" si="27"/>
        <v>0</v>
      </c>
    </row>
    <row r="74" spans="1:46" ht="15" x14ac:dyDescent="0.25">
      <c r="A74" s="1"/>
      <c r="B74" s="94" t="s">
        <v>136</v>
      </c>
      <c r="C74" s="194">
        <f>C6+C16+C26+C34+C42+C49+C57</f>
        <v>501387.33333333326</v>
      </c>
      <c r="D74" s="194">
        <f>D6+D16+D26+D34+D42+D49+D57</f>
        <v>483087</v>
      </c>
      <c r="E74" s="187">
        <f>D74/C74*100</f>
        <v>96.35006069824928</v>
      </c>
      <c r="F74" s="194">
        <f>F6+F16+F26+F34+F42+F49+F57</f>
        <v>161152.75</v>
      </c>
      <c r="G74" s="194">
        <f>G6+G16+G26+G34+G42+G49+G57</f>
        <v>144736</v>
      </c>
      <c r="H74" s="188">
        <f>ROUND(G74/F74*100,1)</f>
        <v>89.8</v>
      </c>
      <c r="I74" s="194">
        <f>I6+I16+I26+I34+I42+I49+I57</f>
        <v>63607.922583333333</v>
      </c>
      <c r="J74" s="194">
        <f>J6+J16+J26+J34+J42+J49+J57</f>
        <v>45431</v>
      </c>
      <c r="K74" s="188">
        <f>ROUND(J74/I74*100,1)</f>
        <v>71.400000000000006</v>
      </c>
      <c r="L74" s="194">
        <f>L6+L16+L26+L34+L42+L49+L57</f>
        <v>1562539.9166666667</v>
      </c>
      <c r="M74" s="194">
        <f>M6+M16+M26+M34+M42+M49+M57</f>
        <v>1536750.08</v>
      </c>
      <c r="N74" s="196">
        <f>ROUND(M74/L74*100,1)</f>
        <v>98.3</v>
      </c>
      <c r="O74" s="194">
        <f>O6+O16+O26+O34+O42+O49+O57</f>
        <v>281685.25000000006</v>
      </c>
      <c r="P74" s="194">
        <f>P6+P16+P26+P34+P42+P49+P57</f>
        <v>235342</v>
      </c>
      <c r="Q74" s="196">
        <f>ROUND(P74/O74*100,1)</f>
        <v>83.5</v>
      </c>
      <c r="R74" s="194">
        <f>R6+R16+R26+R34+R42+R49+R57</f>
        <v>77328.166666666672</v>
      </c>
      <c r="S74" s="194">
        <f>S6+S16+S26+S34+S42+S49+S57</f>
        <v>74566</v>
      </c>
      <c r="T74" s="188">
        <f>ROUND(S74/R74*100,1)</f>
        <v>96.4</v>
      </c>
      <c r="U74" s="194">
        <f>U6+U16+U26+U34+U42+U49+U57</f>
        <v>9936.6666666666642</v>
      </c>
      <c r="V74" s="194">
        <f>V6+V16+V26+V34+V42+V49+V57</f>
        <v>10595</v>
      </c>
      <c r="W74" s="193">
        <f>ROUND(V74/U74*100,1)</f>
        <v>106.6</v>
      </c>
      <c r="X74" s="194">
        <f t="shared" ref="X74:AR74" si="74">X6+X16+X26+X34+X42+X49+X57</f>
        <v>1262312</v>
      </c>
      <c r="Y74" s="194">
        <f t="shared" si="74"/>
        <v>546968</v>
      </c>
      <c r="Z74" s="194">
        <f t="shared" si="74"/>
        <v>2023.2800000000002</v>
      </c>
      <c r="AA74" s="194">
        <f t="shared" si="74"/>
        <v>455723</v>
      </c>
      <c r="AB74" s="194">
        <f t="shared" si="74"/>
        <v>175803</v>
      </c>
      <c r="AC74" s="194">
        <f t="shared" si="74"/>
        <v>1857.24</v>
      </c>
      <c r="AD74" s="194">
        <f t="shared" si="74"/>
        <v>215705</v>
      </c>
      <c r="AE74" s="194">
        <f t="shared" si="74"/>
        <v>69390.460999999996</v>
      </c>
      <c r="AF74" s="194">
        <f t="shared" si="74"/>
        <v>2705.21</v>
      </c>
      <c r="AG74" s="194">
        <f t="shared" si="74"/>
        <v>2740017</v>
      </c>
      <c r="AH74" s="194">
        <f t="shared" si="74"/>
        <v>1704589</v>
      </c>
      <c r="AI74" s="194">
        <f t="shared" si="74"/>
        <v>2705.21</v>
      </c>
      <c r="AJ74" s="194">
        <f t="shared" si="74"/>
        <v>1141155</v>
      </c>
      <c r="AK74" s="194">
        <f t="shared" si="74"/>
        <v>307293</v>
      </c>
      <c r="AL74" s="194">
        <f t="shared" si="74"/>
        <v>2651.51</v>
      </c>
      <c r="AM74" s="194">
        <f t="shared" si="74"/>
        <v>169124</v>
      </c>
      <c r="AN74" s="194">
        <f t="shared" si="74"/>
        <v>84358</v>
      </c>
      <c r="AO74" s="194">
        <f t="shared" si="74"/>
        <v>2689.9399999999996</v>
      </c>
      <c r="AP74" s="194">
        <f t="shared" si="74"/>
        <v>19172</v>
      </c>
      <c r="AQ74" s="194">
        <f t="shared" si="74"/>
        <v>10840</v>
      </c>
      <c r="AR74" s="194">
        <f t="shared" si="74"/>
        <v>2312.8099999999995</v>
      </c>
      <c r="AS74">
        <f t="shared" si="27"/>
        <v>98655.666666666657</v>
      </c>
      <c r="AT74">
        <f t="shared" si="28"/>
        <v>75.582075028634961</v>
      </c>
    </row>
    <row r="75" spans="1:46" x14ac:dyDescent="0.2">
      <c r="AJ75" s="127"/>
    </row>
    <row r="76" spans="1:46" x14ac:dyDescent="0.2">
      <c r="AJ76" s="127"/>
    </row>
    <row r="77" spans="1:46" x14ac:dyDescent="0.2">
      <c r="AJ77" s="127"/>
    </row>
    <row r="78" spans="1:46" x14ac:dyDescent="0.2">
      <c r="AJ78" s="127"/>
    </row>
    <row r="79" spans="1:46" x14ac:dyDescent="0.2">
      <c r="AJ79" s="127"/>
    </row>
    <row r="80" spans="1:46" x14ac:dyDescent="0.2">
      <c r="AJ80" s="127"/>
    </row>
    <row r="81" spans="36:36" x14ac:dyDescent="0.2">
      <c r="AJ81" s="127"/>
    </row>
    <row r="82" spans="36:36" x14ac:dyDescent="0.2">
      <c r="AJ82" s="127"/>
    </row>
  </sheetData>
  <mergeCells count="21">
    <mergeCell ref="AM4:AO4"/>
    <mergeCell ref="AP4:AR4"/>
    <mergeCell ref="AD4:AL4"/>
    <mergeCell ref="R3:T3"/>
    <mergeCell ref="U3:W3"/>
    <mergeCell ref="O3:Q3"/>
    <mergeCell ref="A4:B4"/>
    <mergeCell ref="C3:E3"/>
    <mergeCell ref="F3:H3"/>
    <mergeCell ref="L3:N3"/>
    <mergeCell ref="A1:AQ1"/>
    <mergeCell ref="A2:AQ2"/>
    <mergeCell ref="X3:AP3"/>
    <mergeCell ref="X4:Z4"/>
    <mergeCell ref="AA4:AC4"/>
    <mergeCell ref="A34:B34"/>
    <mergeCell ref="A42:B42"/>
    <mergeCell ref="I3:K3"/>
    <mergeCell ref="A6:B6"/>
    <mergeCell ref="A16:B16"/>
    <mergeCell ref="A26:B26"/>
  </mergeCells>
  <phoneticPr fontId="0" type="noConversion"/>
  <pageMargins left="0.78740157480314965" right="0" top="0" bottom="0" header="0.51181102362204722" footer="0.51181102362204722"/>
  <pageSetup paperSize="9" scale="43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16"/>
  <sheetViews>
    <sheetView workbookViewId="0">
      <pane xSplit="2" ySplit="5" topLeftCell="AB48" activePane="bottomRight" state="frozen"/>
      <selection activeCell="AH52" sqref="AH52"/>
      <selection pane="topRight" activeCell="AH52" sqref="AH52"/>
      <selection pane="bottomLeft" activeCell="AH52" sqref="AH52"/>
      <selection pane="bottomRight" activeCell="AH52" sqref="AH52"/>
    </sheetView>
  </sheetViews>
  <sheetFormatPr defaultRowHeight="12.75" x14ac:dyDescent="0.2"/>
  <cols>
    <col min="1" max="1" width="4.42578125" customWidth="1"/>
    <col min="2" max="2" width="78.5703125" customWidth="1"/>
    <col min="3" max="4" width="12.28515625" customWidth="1"/>
    <col min="5" max="5" width="9.5703125" customWidth="1"/>
    <col min="6" max="6" width="12.28515625" bestFit="1" customWidth="1"/>
    <col min="7" max="7" width="12.28515625" customWidth="1"/>
    <col min="8" max="8" width="8.85546875" bestFit="1" customWidth="1"/>
    <col min="9" max="9" width="11.140625" customWidth="1"/>
    <col min="10" max="10" width="12.85546875" customWidth="1"/>
    <col min="11" max="11" width="10.85546875" customWidth="1"/>
    <col min="12" max="12" width="14.7109375" customWidth="1"/>
    <col min="13" max="13" width="15.28515625" customWidth="1"/>
    <col min="14" max="14" width="10.85546875" customWidth="1"/>
    <col min="15" max="15" width="12.28515625" customWidth="1"/>
    <col min="16" max="16" width="12.140625" customWidth="1"/>
    <col min="17" max="17" width="9.5703125" customWidth="1"/>
    <col min="18" max="19" width="11.140625" customWidth="1"/>
    <col min="20" max="20" width="9" customWidth="1"/>
    <col min="21" max="22" width="10" customWidth="1"/>
    <col min="23" max="23" width="9.7109375" customWidth="1"/>
    <col min="24" max="24" width="14.28515625" hidden="1" customWidth="1"/>
    <col min="25" max="25" width="16" customWidth="1"/>
    <col min="26" max="26" width="19.5703125" hidden="1" customWidth="1"/>
    <col min="27" max="27" width="15" hidden="1" customWidth="1"/>
    <col min="28" max="28" width="18.28515625" customWidth="1"/>
    <col min="29" max="29" width="13.85546875" hidden="1" customWidth="1"/>
    <col min="30" max="30" width="19.85546875" hidden="1" customWidth="1"/>
    <col min="31" max="31" width="18.7109375" customWidth="1"/>
    <col min="32" max="32" width="9.7109375" hidden="1" customWidth="1"/>
    <col min="33" max="33" width="21.5703125" hidden="1" customWidth="1"/>
    <col min="34" max="34" width="18.28515625" customWidth="1"/>
    <col min="35" max="35" width="0" hidden="1" customWidth="1"/>
    <col min="36" max="36" width="14.42578125" hidden="1" customWidth="1"/>
    <col min="37" max="37" width="19.7109375" customWidth="1"/>
    <col min="38" max="38" width="10" hidden="1" customWidth="1"/>
    <col min="39" max="39" width="13" hidden="1" customWidth="1"/>
    <col min="40" max="40" width="14.7109375" customWidth="1"/>
    <col min="41" max="41" width="9.7109375" hidden="1" customWidth="1"/>
    <col min="42" max="42" width="14.5703125" hidden="1" customWidth="1"/>
    <col min="43" max="43" width="15.5703125" customWidth="1"/>
    <col min="44" max="44" width="9.7109375" hidden="1" customWidth="1"/>
    <col min="45" max="52" width="0" hidden="1" customWidth="1"/>
  </cols>
  <sheetData>
    <row r="1" spans="1:44" ht="15" customHeight="1" x14ac:dyDescent="0.3">
      <c r="A1" s="408" t="s">
        <v>261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</row>
    <row r="2" spans="1:44" ht="15" customHeight="1" thickBot="1" x14ac:dyDescent="0.3">
      <c r="A2" s="382" t="s">
        <v>115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</row>
    <row r="3" spans="1:44" ht="15" customHeight="1" thickBot="1" x14ac:dyDescent="0.35">
      <c r="A3" s="34"/>
      <c r="B3" s="35"/>
      <c r="C3" s="384" t="s">
        <v>0</v>
      </c>
      <c r="D3" s="385"/>
      <c r="E3" s="386"/>
      <c r="F3" s="384" t="s">
        <v>1</v>
      </c>
      <c r="G3" s="385"/>
      <c r="H3" s="385"/>
      <c r="I3" s="379" t="s">
        <v>184</v>
      </c>
      <c r="J3" s="380"/>
      <c r="K3" s="381"/>
      <c r="L3" s="379" t="s">
        <v>101</v>
      </c>
      <c r="M3" s="380"/>
      <c r="N3" s="381"/>
      <c r="O3" s="379" t="s">
        <v>185</v>
      </c>
      <c r="P3" s="380"/>
      <c r="Q3" s="381"/>
      <c r="R3" s="379" t="s">
        <v>172</v>
      </c>
      <c r="S3" s="380"/>
      <c r="T3" s="381"/>
      <c r="U3" s="379" t="s">
        <v>173</v>
      </c>
      <c r="V3" s="380"/>
      <c r="W3" s="380"/>
      <c r="X3" s="409" t="s">
        <v>175</v>
      </c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269"/>
      <c r="AR3" s="6"/>
    </row>
    <row r="4" spans="1:44" ht="15" customHeight="1" x14ac:dyDescent="0.25">
      <c r="A4" s="393" t="s">
        <v>41</v>
      </c>
      <c r="B4" s="394"/>
      <c r="C4" s="36" t="s">
        <v>40</v>
      </c>
      <c r="D4" s="37" t="s">
        <v>42</v>
      </c>
      <c r="E4" s="43" t="s">
        <v>39</v>
      </c>
      <c r="F4" s="37" t="s">
        <v>40</v>
      </c>
      <c r="G4" s="37" t="s">
        <v>42</v>
      </c>
      <c r="H4" s="38" t="s">
        <v>39</v>
      </c>
      <c r="I4" s="218" t="s">
        <v>40</v>
      </c>
      <c r="J4" s="37" t="s">
        <v>42</v>
      </c>
      <c r="K4" s="219" t="s">
        <v>39</v>
      </c>
      <c r="L4" s="218" t="s">
        <v>40</v>
      </c>
      <c r="M4" s="37" t="s">
        <v>42</v>
      </c>
      <c r="N4" s="219" t="s">
        <v>39</v>
      </c>
      <c r="O4" s="218" t="s">
        <v>40</v>
      </c>
      <c r="P4" s="37" t="s">
        <v>42</v>
      </c>
      <c r="Q4" s="219" t="s">
        <v>39</v>
      </c>
      <c r="R4" s="218" t="s">
        <v>40</v>
      </c>
      <c r="S4" s="37" t="s">
        <v>42</v>
      </c>
      <c r="T4" s="219" t="s">
        <v>39</v>
      </c>
      <c r="U4" s="218" t="s">
        <v>40</v>
      </c>
      <c r="V4" s="37" t="s">
        <v>42</v>
      </c>
      <c r="W4" s="46" t="s">
        <v>39</v>
      </c>
      <c r="X4" s="411" t="s">
        <v>20</v>
      </c>
      <c r="Y4" s="412"/>
      <c r="Z4" s="413"/>
      <c r="AA4" s="411" t="s">
        <v>49</v>
      </c>
      <c r="AB4" s="412"/>
      <c r="AC4" s="413"/>
      <c r="AD4" s="415" t="s">
        <v>264</v>
      </c>
      <c r="AE4" s="416"/>
      <c r="AF4" s="416"/>
      <c r="AG4" s="416"/>
      <c r="AH4" s="416"/>
      <c r="AI4" s="416"/>
      <c r="AJ4" s="416"/>
      <c r="AK4" s="416"/>
      <c r="AL4" s="417"/>
      <c r="AM4" s="411" t="s">
        <v>172</v>
      </c>
      <c r="AN4" s="412"/>
      <c r="AO4" s="413"/>
      <c r="AP4" s="411" t="s">
        <v>173</v>
      </c>
      <c r="AQ4" s="414"/>
      <c r="AR4" s="413"/>
    </row>
    <row r="5" spans="1:44" ht="15" customHeight="1" thickBot="1" x14ac:dyDescent="0.3">
      <c r="A5" s="47"/>
      <c r="B5" s="48"/>
      <c r="C5" s="49" t="s">
        <v>50</v>
      </c>
      <c r="D5" s="49" t="s">
        <v>50</v>
      </c>
      <c r="E5" s="53"/>
      <c r="F5" s="49" t="s">
        <v>50</v>
      </c>
      <c r="G5" s="51" t="s">
        <v>50</v>
      </c>
      <c r="H5" s="50"/>
      <c r="I5" s="49" t="s">
        <v>53</v>
      </c>
      <c r="J5" s="51" t="s">
        <v>53</v>
      </c>
      <c r="K5" s="54"/>
      <c r="L5" s="49" t="s">
        <v>53</v>
      </c>
      <c r="M5" s="51" t="s">
        <v>53</v>
      </c>
      <c r="N5" s="54"/>
      <c r="O5" s="49" t="s">
        <v>53</v>
      </c>
      <c r="P5" s="51" t="s">
        <v>53</v>
      </c>
      <c r="Q5" s="54"/>
      <c r="R5" s="49" t="s">
        <v>53</v>
      </c>
      <c r="S5" s="51" t="s">
        <v>53</v>
      </c>
      <c r="T5" s="54"/>
      <c r="U5" s="49" t="s">
        <v>53</v>
      </c>
      <c r="V5" s="51" t="s">
        <v>53</v>
      </c>
      <c r="W5" s="50"/>
      <c r="X5" s="232" t="s">
        <v>50</v>
      </c>
      <c r="Y5" s="232" t="s">
        <v>5</v>
      </c>
      <c r="Z5" s="231" t="s">
        <v>39</v>
      </c>
      <c r="AA5" s="215" t="s">
        <v>50</v>
      </c>
      <c r="AB5" s="232" t="s">
        <v>5</v>
      </c>
      <c r="AC5" s="215" t="s">
        <v>39</v>
      </c>
      <c r="AD5" s="232" t="s">
        <v>195</v>
      </c>
      <c r="AE5" s="232" t="s">
        <v>5</v>
      </c>
      <c r="AF5" s="232" t="s">
        <v>39</v>
      </c>
      <c r="AG5" s="232" t="s">
        <v>259</v>
      </c>
      <c r="AH5" s="232" t="s">
        <v>5</v>
      </c>
      <c r="AI5" s="232" t="s">
        <v>39</v>
      </c>
      <c r="AJ5" s="232" t="s">
        <v>185</v>
      </c>
      <c r="AK5" s="232" t="s">
        <v>5</v>
      </c>
      <c r="AL5" s="232" t="s">
        <v>39</v>
      </c>
      <c r="AM5" s="232" t="s">
        <v>195</v>
      </c>
      <c r="AN5" s="232" t="s">
        <v>5</v>
      </c>
      <c r="AO5" s="232" t="s">
        <v>39</v>
      </c>
      <c r="AP5" s="268" t="s">
        <v>183</v>
      </c>
      <c r="AQ5" s="272" t="s">
        <v>5</v>
      </c>
      <c r="AR5" s="253" t="s">
        <v>39</v>
      </c>
    </row>
    <row r="6" spans="1:44" ht="15" customHeight="1" x14ac:dyDescent="0.25">
      <c r="A6" s="403" t="s">
        <v>191</v>
      </c>
      <c r="B6" s="404"/>
      <c r="C6" s="186">
        <f>SUM(C7:C15)</f>
        <v>105401.08333333333</v>
      </c>
      <c r="D6" s="186">
        <f>SUM(D7:D15)</f>
        <v>98133</v>
      </c>
      <c r="E6" s="187">
        <f>ROUND(D6/AA6*100,1)</f>
        <v>117.5</v>
      </c>
      <c r="F6" s="186">
        <f>SUM(F7:F15)</f>
        <v>19004.333333333336</v>
      </c>
      <c r="G6" s="186">
        <f>SUM(G7:G15)</f>
        <v>14988</v>
      </c>
      <c r="H6" s="188">
        <f t="shared" ref="H6:H12" si="0">ROUND(G6/F6*100,1)</f>
        <v>78.900000000000006</v>
      </c>
      <c r="I6" s="186">
        <f>SUM(I7:I15)</f>
        <v>410.66666666666669</v>
      </c>
      <c r="J6" s="186">
        <f>SUM(J7:J15)</f>
        <v>185</v>
      </c>
      <c r="K6" s="193">
        <f>ROUND(J6/I6*100,1)</f>
        <v>45</v>
      </c>
      <c r="L6" s="186">
        <f>SUM(L7:L15)</f>
        <v>125139.66666666666</v>
      </c>
      <c r="M6" s="186">
        <f>SUM(M7:M15)</f>
        <v>130646.93</v>
      </c>
      <c r="N6" s="188">
        <f t="shared" ref="N6:N12" si="1">ROUND(M6/L6*100,1)</f>
        <v>104.4</v>
      </c>
      <c r="O6" s="186">
        <f>SUM(O7:O15)</f>
        <v>26528.333333333332</v>
      </c>
      <c r="P6" s="186">
        <f>SUM(P7:P15)</f>
        <v>17916</v>
      </c>
      <c r="Q6" s="188">
        <f t="shared" ref="Q6:Q61" si="2">ROUND(P6/O6*100,1)</f>
        <v>67.5</v>
      </c>
      <c r="R6" s="186">
        <f>SUM(R7:R15)</f>
        <v>0</v>
      </c>
      <c r="S6" s="186">
        <f>SUM(S7:S15)</f>
        <v>0</v>
      </c>
      <c r="T6" s="188" t="e">
        <f>ROUND(S6/R6*100,1)</f>
        <v>#DIV/0!</v>
      </c>
      <c r="U6" s="186">
        <f>SUM(U7:U15)</f>
        <v>0</v>
      </c>
      <c r="V6" s="186">
        <f>SUM(V7:V15)</f>
        <v>0</v>
      </c>
      <c r="W6" s="188"/>
      <c r="X6" s="186">
        <f t="shared" ref="X6:AE6" si="3">SUM(X7:X15)</f>
        <v>395520</v>
      </c>
      <c r="Y6" s="303">
        <f t="shared" si="3"/>
        <v>114983</v>
      </c>
      <c r="Z6" s="303">
        <f t="shared" si="3"/>
        <v>127.5</v>
      </c>
      <c r="AA6" s="303">
        <f t="shared" si="3"/>
        <v>83495</v>
      </c>
      <c r="AB6" s="303">
        <f t="shared" si="3"/>
        <v>20732</v>
      </c>
      <c r="AC6" s="303">
        <f t="shared" si="3"/>
        <v>90.36999999999999</v>
      </c>
      <c r="AD6" s="303">
        <f t="shared" si="3"/>
        <v>9297</v>
      </c>
      <c r="AE6" s="303">
        <f t="shared" si="3"/>
        <v>448</v>
      </c>
      <c r="AF6" s="335">
        <f>VALUE(AE6/AD6*100)</f>
        <v>4.8187587393782945</v>
      </c>
      <c r="AG6" s="305">
        <f>SUM(AG7:AG15)</f>
        <v>507648</v>
      </c>
      <c r="AH6" s="300">
        <f>SUM(AH7:AH15)</f>
        <v>146556</v>
      </c>
      <c r="AI6" s="335">
        <f>VALUE(AH6/AG6*100)</f>
        <v>28.869610438729197</v>
      </c>
      <c r="AJ6" s="305">
        <f>SUM(AJ7:AJ15)</f>
        <v>115578</v>
      </c>
      <c r="AK6" s="343">
        <f>SUM(AK7:AK15)</f>
        <v>28940</v>
      </c>
      <c r="AL6" s="335">
        <f>VALUE(AK6/AJ6*100)</f>
        <v>25.039367353648618</v>
      </c>
      <c r="AM6" s="305">
        <f>SUM(AM7:AM15)</f>
        <v>0</v>
      </c>
      <c r="AN6" s="305">
        <f>SUM(AN7:AN15)</f>
        <v>0</v>
      </c>
      <c r="AO6" s="335" t="e">
        <f>VALUE(AN6/AM6*100)</f>
        <v>#DIV/0!</v>
      </c>
      <c r="AP6" s="305">
        <f>SUM(AP7:AP15)</f>
        <v>0</v>
      </c>
      <c r="AQ6" s="300">
        <f>SUM(AQ7:AQ15)</f>
        <v>0</v>
      </c>
      <c r="AR6" s="233"/>
    </row>
    <row r="7" spans="1:44" ht="15" customHeight="1" x14ac:dyDescent="0.25">
      <c r="A7" s="66">
        <v>1</v>
      </c>
      <c r="B7" s="141" t="s">
        <v>224</v>
      </c>
      <c r="C7" s="189">
        <f>Y7/12*11</f>
        <v>55099.916666666664</v>
      </c>
      <c r="D7" s="189">
        <f>[3]ОБЛАСТ!$C$129</f>
        <v>52362</v>
      </c>
      <c r="E7" s="190">
        <f>ROUND(D7/C7*100,1)</f>
        <v>95</v>
      </c>
      <c r="F7" s="189">
        <f>AB7/12*11</f>
        <v>0</v>
      </c>
      <c r="G7" s="189">
        <f>[3]ОБЛАСТ!$O$129</f>
        <v>0</v>
      </c>
      <c r="H7" s="191"/>
      <c r="I7" s="189">
        <f>AE7/12*11</f>
        <v>0</v>
      </c>
      <c r="J7" s="189">
        <f>[3]ОБЛАСТ!$W$129</f>
        <v>0</v>
      </c>
      <c r="K7" s="191"/>
      <c r="L7" s="189">
        <f>AH7/12*6</f>
        <v>11044</v>
      </c>
      <c r="M7" s="189">
        <f>[3]ОБЛАСТ!$S$129</f>
        <v>18952.219999999998</v>
      </c>
      <c r="N7" s="191">
        <f t="shared" si="1"/>
        <v>171.6</v>
      </c>
      <c r="O7" s="189">
        <f>AK7/12*11</f>
        <v>0</v>
      </c>
      <c r="P7" s="189">
        <f>[3]ОБЛАСТ!$AA$129</f>
        <v>0</v>
      </c>
      <c r="Q7" s="191"/>
      <c r="R7" s="189">
        <f>AN7/12*11</f>
        <v>0</v>
      </c>
      <c r="S7" s="189">
        <f>[3]ОБЛАСТ!$G$129</f>
        <v>0</v>
      </c>
      <c r="T7" s="245"/>
      <c r="U7" s="189">
        <f>AQ7/12*11</f>
        <v>0</v>
      </c>
      <c r="V7" s="189"/>
      <c r="W7" s="191"/>
      <c r="X7" s="222">
        <v>190400</v>
      </c>
      <c r="Y7" s="299">
        <v>60109</v>
      </c>
      <c r="Z7" s="308">
        <v>26.54</v>
      </c>
      <c r="AA7" s="309"/>
      <c r="AB7" s="299">
        <f>VALUE(AA7*AC7/100)</f>
        <v>0</v>
      </c>
      <c r="AC7" s="331"/>
      <c r="AD7" s="310"/>
      <c r="AE7" s="299">
        <f t="shared" ref="AE7:AE13" si="4">VALUE(AD7*AF7/100)</f>
        <v>0</v>
      </c>
      <c r="AF7" s="331">
        <v>21.39</v>
      </c>
      <c r="AG7" s="336">
        <v>80990</v>
      </c>
      <c r="AH7" s="299">
        <v>22088</v>
      </c>
      <c r="AI7" s="299">
        <v>21.39</v>
      </c>
      <c r="AJ7" s="313">
        <v>0</v>
      </c>
      <c r="AK7" s="299">
        <f>VALUE(AJ7*AL7/100)</f>
        <v>0</v>
      </c>
      <c r="AL7" s="331">
        <v>0</v>
      </c>
      <c r="AM7" s="314"/>
      <c r="AN7" s="299">
        <f t="shared" ref="AN7:AN70" si="5">VALUE(AM7*AO7/100)</f>
        <v>0</v>
      </c>
      <c r="AO7" s="331"/>
      <c r="AP7" s="299"/>
      <c r="AQ7" s="299">
        <f t="shared" ref="AQ7:AQ12" si="6">VALUE(AP7*AR7/100)</f>
        <v>0</v>
      </c>
      <c r="AR7" s="223"/>
    </row>
    <row r="8" spans="1:44" ht="15" customHeight="1" x14ac:dyDescent="0.25">
      <c r="A8" s="66">
        <v>2</v>
      </c>
      <c r="B8" s="141" t="s">
        <v>223</v>
      </c>
      <c r="C8" s="189">
        <f t="shared" ref="C8:C15" si="7">Y8/12*11</f>
        <v>9088.75</v>
      </c>
      <c r="D8" s="189">
        <f>[2]госп!$C$129</f>
        <v>8175</v>
      </c>
      <c r="E8" s="190">
        <f>ROUND(D8/C8*100,1)</f>
        <v>89.9</v>
      </c>
      <c r="F8" s="189">
        <f t="shared" ref="F8:F15" si="8">AB8/12*11</f>
        <v>2196.333333333333</v>
      </c>
      <c r="G8" s="189">
        <f>[2]госп!$O$129</f>
        <v>1836</v>
      </c>
      <c r="H8" s="191">
        <f t="shared" si="0"/>
        <v>83.6</v>
      </c>
      <c r="I8" s="189">
        <f t="shared" ref="I8:I15" si="9">AE8/12*11</f>
        <v>0</v>
      </c>
      <c r="J8" s="189">
        <f>[2]госп!$W$129</f>
        <v>0</v>
      </c>
      <c r="K8" s="191"/>
      <c r="L8" s="189">
        <f>AH8/12*11</f>
        <v>14300</v>
      </c>
      <c r="M8" s="189">
        <f>[2]госп!$S$129</f>
        <v>14800.95</v>
      </c>
      <c r="N8" s="191">
        <f t="shared" si="1"/>
        <v>103.5</v>
      </c>
      <c r="O8" s="189">
        <f t="shared" ref="O8:O15" si="10">AK8/12*11</f>
        <v>2758.25</v>
      </c>
      <c r="P8" s="189">
        <f>[2]госп!$AA$129</f>
        <v>2084</v>
      </c>
      <c r="Q8" s="191">
        <f t="shared" si="2"/>
        <v>75.599999999999994</v>
      </c>
      <c r="R8" s="189">
        <f t="shared" ref="R8:R15" si="11">AN8/12*11</f>
        <v>0</v>
      </c>
      <c r="S8" s="189">
        <f>[2]госп!$G$129</f>
        <v>0</v>
      </c>
      <c r="T8" s="245"/>
      <c r="U8" s="189">
        <f t="shared" ref="U8:U15" si="12">AQ8/12*11</f>
        <v>0</v>
      </c>
      <c r="V8" s="189"/>
      <c r="W8" s="191"/>
      <c r="X8" s="222">
        <v>47360</v>
      </c>
      <c r="Y8" s="299">
        <v>9915</v>
      </c>
      <c r="Z8" s="308">
        <v>12.25</v>
      </c>
      <c r="AA8" s="309">
        <v>9390</v>
      </c>
      <c r="AB8" s="299">
        <v>2396</v>
      </c>
      <c r="AC8" s="331">
        <v>18.79</v>
      </c>
      <c r="AD8" s="310"/>
      <c r="AE8" s="299">
        <f t="shared" si="4"/>
        <v>0</v>
      </c>
      <c r="AF8" s="331">
        <v>22.41</v>
      </c>
      <c r="AG8" s="336">
        <v>44003</v>
      </c>
      <c r="AH8" s="299">
        <v>15600</v>
      </c>
      <c r="AI8" s="299">
        <v>22.41</v>
      </c>
      <c r="AJ8" s="313">
        <v>13780</v>
      </c>
      <c r="AK8" s="299">
        <v>3009</v>
      </c>
      <c r="AL8" s="331">
        <v>22.41</v>
      </c>
      <c r="AM8" s="314"/>
      <c r="AN8" s="299">
        <f t="shared" si="5"/>
        <v>0</v>
      </c>
      <c r="AO8" s="331">
        <v>22.41</v>
      </c>
      <c r="AP8" s="299"/>
      <c r="AQ8" s="299">
        <f t="shared" si="6"/>
        <v>0</v>
      </c>
      <c r="AR8" s="223"/>
    </row>
    <row r="9" spans="1:44" ht="15" customHeight="1" x14ac:dyDescent="0.25">
      <c r="A9" s="66">
        <v>3</v>
      </c>
      <c r="B9" s="141" t="s">
        <v>222</v>
      </c>
      <c r="C9" s="189">
        <f t="shared" si="7"/>
        <v>9856.9166666666679</v>
      </c>
      <c r="D9" s="189">
        <f>[3]КАРД!$C$129</f>
        <v>8843</v>
      </c>
      <c r="E9" s="190">
        <f>ROUND(D9/C9*100,1)</f>
        <v>89.7</v>
      </c>
      <c r="F9" s="189">
        <f t="shared" si="8"/>
        <v>3989.3333333333335</v>
      </c>
      <c r="G9" s="189">
        <f>[3]КАРД!$O$129</f>
        <v>3191</v>
      </c>
      <c r="H9" s="191">
        <f t="shared" si="0"/>
        <v>80</v>
      </c>
      <c r="I9" s="189">
        <f t="shared" si="9"/>
        <v>0</v>
      </c>
      <c r="J9" s="189">
        <f>[3]КАРД!$W$129</f>
        <v>0</v>
      </c>
      <c r="K9" s="191"/>
      <c r="L9" s="189">
        <f t="shared" ref="L9:L15" si="13">AH9/12*11</f>
        <v>6712.75</v>
      </c>
      <c r="M9" s="189">
        <f>[3]КАРД!$S$129</f>
        <v>5906</v>
      </c>
      <c r="N9" s="191">
        <f t="shared" si="1"/>
        <v>88</v>
      </c>
      <c r="O9" s="189">
        <f t="shared" si="10"/>
        <v>557.33333333333326</v>
      </c>
      <c r="P9" s="189">
        <f>[3]КАРД!$AA$129</f>
        <v>190</v>
      </c>
      <c r="Q9" s="191">
        <f t="shared" si="2"/>
        <v>34.1</v>
      </c>
      <c r="R9" s="189">
        <f t="shared" si="11"/>
        <v>0</v>
      </c>
      <c r="S9" s="189">
        <f>[3]КАРД!$G$129</f>
        <v>0</v>
      </c>
      <c r="T9" s="245"/>
      <c r="U9" s="189">
        <f t="shared" si="12"/>
        <v>0</v>
      </c>
      <c r="V9" s="189"/>
      <c r="W9" s="191"/>
      <c r="X9" s="222">
        <v>36800</v>
      </c>
      <c r="Y9" s="299">
        <v>10753</v>
      </c>
      <c r="Z9" s="308">
        <v>23.76</v>
      </c>
      <c r="AA9" s="309">
        <v>18705</v>
      </c>
      <c r="AB9" s="299">
        <v>4352</v>
      </c>
      <c r="AC9" s="331">
        <f>17.98-0.01</f>
        <v>17.97</v>
      </c>
      <c r="AD9" s="310"/>
      <c r="AE9" s="299">
        <f t="shared" si="4"/>
        <v>0</v>
      </c>
      <c r="AF9" s="331">
        <v>22.02</v>
      </c>
      <c r="AG9" s="336">
        <v>15191</v>
      </c>
      <c r="AH9" s="299">
        <v>7323</v>
      </c>
      <c r="AI9" s="299">
        <v>22.02</v>
      </c>
      <c r="AJ9" s="313">
        <v>3550</v>
      </c>
      <c r="AK9" s="299">
        <v>608</v>
      </c>
      <c r="AL9" s="331">
        <v>22.02</v>
      </c>
      <c r="AM9" s="314"/>
      <c r="AN9" s="299">
        <f t="shared" si="5"/>
        <v>0</v>
      </c>
      <c r="AO9" s="331">
        <v>22.02</v>
      </c>
      <c r="AP9" s="299"/>
      <c r="AQ9" s="299">
        <f t="shared" si="6"/>
        <v>0</v>
      </c>
      <c r="AR9" s="223"/>
    </row>
    <row r="10" spans="1:44" ht="15" customHeight="1" x14ac:dyDescent="0.25">
      <c r="A10" s="66">
        <v>4</v>
      </c>
      <c r="B10" s="205" t="s">
        <v>221</v>
      </c>
      <c r="C10" s="189">
        <f t="shared" si="7"/>
        <v>2094.583333333333</v>
      </c>
      <c r="D10" s="189">
        <f>[3]КОЖВЕН!$C$129</f>
        <v>1644</v>
      </c>
      <c r="E10" s="190">
        <f>ROUND(D10/C10*100,1)</f>
        <v>78.5</v>
      </c>
      <c r="F10" s="189">
        <f t="shared" si="8"/>
        <v>2221.083333333333</v>
      </c>
      <c r="G10" s="189">
        <f>[3]КОЖВЕН!$O$129</f>
        <v>1794</v>
      </c>
      <c r="H10" s="191">
        <f t="shared" si="0"/>
        <v>80.8</v>
      </c>
      <c r="I10" s="189">
        <f t="shared" si="9"/>
        <v>0</v>
      </c>
      <c r="J10" s="189">
        <f>[3]КОЖВЕН!$W$129</f>
        <v>0</v>
      </c>
      <c r="K10" s="191"/>
      <c r="L10" s="189">
        <f t="shared" si="13"/>
        <v>10803.833333333332</v>
      </c>
      <c r="M10" s="189">
        <f>[3]КОЖВЕН!$S$129</f>
        <v>10100</v>
      </c>
      <c r="N10" s="191">
        <f t="shared" si="1"/>
        <v>93.5</v>
      </c>
      <c r="O10" s="189">
        <f t="shared" si="10"/>
        <v>3318.3333333333335</v>
      </c>
      <c r="P10" s="189">
        <f>[3]КОЖВЕН!$AA$129</f>
        <v>2219</v>
      </c>
      <c r="Q10" s="191">
        <f t="shared" si="2"/>
        <v>66.900000000000006</v>
      </c>
      <c r="R10" s="189">
        <f t="shared" si="11"/>
        <v>0</v>
      </c>
      <c r="S10" s="189">
        <f>[3]КОЖВЕН!$G$129</f>
        <v>0</v>
      </c>
      <c r="T10" s="245"/>
      <c r="U10" s="189">
        <f t="shared" si="12"/>
        <v>0</v>
      </c>
      <c r="V10" s="189"/>
      <c r="W10" s="191"/>
      <c r="X10" s="222">
        <v>7360</v>
      </c>
      <c r="Y10" s="299">
        <v>2285</v>
      </c>
      <c r="Z10" s="308">
        <v>18.760000000000002</v>
      </c>
      <c r="AA10" s="309">
        <v>8500</v>
      </c>
      <c r="AB10" s="299">
        <v>2423</v>
      </c>
      <c r="AC10" s="331">
        <v>19.93</v>
      </c>
      <c r="AD10" s="310"/>
      <c r="AE10" s="299">
        <f t="shared" si="4"/>
        <v>0</v>
      </c>
      <c r="AF10" s="331">
        <v>11.25</v>
      </c>
      <c r="AG10" s="336">
        <v>57007</v>
      </c>
      <c r="AH10" s="299">
        <v>11786</v>
      </c>
      <c r="AI10" s="299">
        <v>11.25</v>
      </c>
      <c r="AJ10" s="313">
        <v>10909</v>
      </c>
      <c r="AK10" s="299">
        <v>3620</v>
      </c>
      <c r="AL10" s="331">
        <v>11.25</v>
      </c>
      <c r="AM10" s="314"/>
      <c r="AN10" s="299">
        <f t="shared" si="5"/>
        <v>0</v>
      </c>
      <c r="AO10" s="331">
        <v>11.25</v>
      </c>
      <c r="AP10" s="299"/>
      <c r="AQ10" s="299">
        <f t="shared" si="6"/>
        <v>0</v>
      </c>
      <c r="AR10" s="223"/>
    </row>
    <row r="11" spans="1:44" ht="15" customHeight="1" x14ac:dyDescent="0.25">
      <c r="A11" s="66">
        <v>5</v>
      </c>
      <c r="B11" s="141" t="s">
        <v>220</v>
      </c>
      <c r="C11" s="189">
        <f t="shared" si="7"/>
        <v>13838</v>
      </c>
      <c r="D11" s="189">
        <f>[3]ОНКО!$C$129</f>
        <v>12678</v>
      </c>
      <c r="E11" s="190">
        <f>ROUND(D11/C11*100,1)</f>
        <v>91.6</v>
      </c>
      <c r="F11" s="189">
        <f t="shared" si="8"/>
        <v>5290.0833333333339</v>
      </c>
      <c r="G11" s="189">
        <f>[3]ОНКО!$O$129</f>
        <v>3675</v>
      </c>
      <c r="H11" s="191">
        <f t="shared" si="0"/>
        <v>69.5</v>
      </c>
      <c r="I11" s="189">
        <f t="shared" si="9"/>
        <v>0</v>
      </c>
      <c r="J11" s="189">
        <f>[3]ОНКО!$W$129</f>
        <v>0</v>
      </c>
      <c r="K11" s="191"/>
      <c r="L11" s="189">
        <f t="shared" si="13"/>
        <v>12889.25</v>
      </c>
      <c r="M11" s="189">
        <f>[3]ОНКО!$S$129</f>
        <v>11584</v>
      </c>
      <c r="N11" s="191">
        <f t="shared" si="1"/>
        <v>89.9</v>
      </c>
      <c r="O11" s="189">
        <f t="shared" si="10"/>
        <v>388.66666666666669</v>
      </c>
      <c r="P11" s="189">
        <f>[3]ОНКО!$AA$129</f>
        <v>70</v>
      </c>
      <c r="Q11" s="191"/>
      <c r="R11" s="189">
        <f t="shared" si="11"/>
        <v>0</v>
      </c>
      <c r="S11" s="189">
        <f>[3]ОНКО!$G$129</f>
        <v>0</v>
      </c>
      <c r="T11" s="245"/>
      <c r="U11" s="189">
        <f t="shared" si="12"/>
        <v>0</v>
      </c>
      <c r="V11" s="189"/>
      <c r="W11" s="191"/>
      <c r="X11" s="222">
        <v>42600</v>
      </c>
      <c r="Y11" s="299">
        <v>15096</v>
      </c>
      <c r="Z11" s="308">
        <v>26.81</v>
      </c>
      <c r="AA11" s="309">
        <v>18700</v>
      </c>
      <c r="AB11" s="299">
        <v>5771</v>
      </c>
      <c r="AC11" s="331">
        <v>20.38</v>
      </c>
      <c r="AD11" s="310"/>
      <c r="AE11" s="299">
        <f t="shared" si="4"/>
        <v>0</v>
      </c>
      <c r="AF11" s="331">
        <v>23.04</v>
      </c>
      <c r="AG11" s="336">
        <f>44000</f>
        <v>44000</v>
      </c>
      <c r="AH11" s="299">
        <v>14061</v>
      </c>
      <c r="AI11" s="299">
        <v>23.05</v>
      </c>
      <c r="AJ11" s="313"/>
      <c r="AK11" s="299">
        <v>424</v>
      </c>
      <c r="AL11" s="331">
        <v>23.04</v>
      </c>
      <c r="AM11" s="314"/>
      <c r="AN11" s="299">
        <f t="shared" si="5"/>
        <v>0</v>
      </c>
      <c r="AO11" s="331">
        <v>23.04</v>
      </c>
      <c r="AP11" s="299"/>
      <c r="AQ11" s="299">
        <f t="shared" si="6"/>
        <v>0</v>
      </c>
      <c r="AR11" s="223"/>
    </row>
    <row r="12" spans="1:44" ht="15" customHeight="1" x14ac:dyDescent="0.25">
      <c r="A12" s="66">
        <v>6</v>
      </c>
      <c r="B12" s="141" t="s">
        <v>201</v>
      </c>
      <c r="C12" s="189">
        <f t="shared" si="7"/>
        <v>0</v>
      </c>
      <c r="D12" s="189">
        <f>[2]цвд!$C$129</f>
        <v>0</v>
      </c>
      <c r="E12" s="190"/>
      <c r="F12" s="189">
        <f t="shared" si="8"/>
        <v>5307.5</v>
      </c>
      <c r="G12" s="189">
        <f>[2]цвд!$O$129</f>
        <v>4492</v>
      </c>
      <c r="H12" s="191">
        <f t="shared" si="0"/>
        <v>84.6</v>
      </c>
      <c r="I12" s="189">
        <f t="shared" si="9"/>
        <v>0</v>
      </c>
      <c r="J12" s="189">
        <f>[2]цвд!$W$129</f>
        <v>0</v>
      </c>
      <c r="K12" s="191"/>
      <c r="L12" s="189">
        <f t="shared" si="13"/>
        <v>1012.9166666666666</v>
      </c>
      <c r="M12" s="189">
        <f>[2]цвд!$S$129</f>
        <v>660</v>
      </c>
      <c r="N12" s="191">
        <f t="shared" si="1"/>
        <v>65.2</v>
      </c>
      <c r="O12" s="189">
        <f t="shared" si="10"/>
        <v>0</v>
      </c>
      <c r="P12" s="189">
        <f>[2]цвд!$AA$129</f>
        <v>0</v>
      </c>
      <c r="Q12" s="191"/>
      <c r="R12" s="189">
        <f t="shared" si="11"/>
        <v>0</v>
      </c>
      <c r="S12" s="189">
        <f>[2]цвд!$G$129</f>
        <v>0</v>
      </c>
      <c r="T12" s="245"/>
      <c r="U12" s="189">
        <f t="shared" si="12"/>
        <v>0</v>
      </c>
      <c r="V12" s="189"/>
      <c r="W12" s="191"/>
      <c r="X12" s="222"/>
      <c r="Y12" s="299">
        <f>VALUE(X12*Z12/100)</f>
        <v>0</v>
      </c>
      <c r="Z12" s="308"/>
      <c r="AA12" s="309">
        <v>28200</v>
      </c>
      <c r="AB12" s="299">
        <v>5790</v>
      </c>
      <c r="AC12" s="331">
        <v>13.3</v>
      </c>
      <c r="AD12" s="310"/>
      <c r="AE12" s="299">
        <f t="shared" si="4"/>
        <v>0</v>
      </c>
      <c r="AF12" s="331">
        <v>14.55</v>
      </c>
      <c r="AG12" s="336">
        <v>4000</v>
      </c>
      <c r="AH12" s="299">
        <v>1105</v>
      </c>
      <c r="AI12" s="299">
        <v>14.55</v>
      </c>
      <c r="AJ12" s="313"/>
      <c r="AK12" s="299">
        <f>VALUE(AJ12*AL12/100)</f>
        <v>0</v>
      </c>
      <c r="AL12" s="331">
        <v>14.55</v>
      </c>
      <c r="AM12" s="314"/>
      <c r="AN12" s="299">
        <f t="shared" si="5"/>
        <v>0</v>
      </c>
      <c r="AO12" s="331">
        <v>14.55</v>
      </c>
      <c r="AP12" s="299"/>
      <c r="AQ12" s="299">
        <f t="shared" si="6"/>
        <v>0</v>
      </c>
      <c r="AR12" s="223"/>
    </row>
    <row r="13" spans="1:44" ht="15" customHeight="1" x14ac:dyDescent="0.25">
      <c r="A13" s="66">
        <v>7</v>
      </c>
      <c r="B13" s="141" t="s">
        <v>219</v>
      </c>
      <c r="C13" s="189">
        <f t="shared" si="7"/>
        <v>0</v>
      </c>
      <c r="D13" s="189">
        <f>[2]обл.ст!$C$129</f>
        <v>0</v>
      </c>
      <c r="E13" s="190"/>
      <c r="F13" s="189">
        <f t="shared" si="8"/>
        <v>0</v>
      </c>
      <c r="G13" s="189">
        <f>[2]обл.ст!$O$129</f>
        <v>0</v>
      </c>
      <c r="H13" s="191"/>
      <c r="I13" s="189">
        <f t="shared" si="9"/>
        <v>0</v>
      </c>
      <c r="J13" s="189">
        <f>[2]обл.ст!$W$129</f>
        <v>0</v>
      </c>
      <c r="K13" s="191"/>
      <c r="L13" s="189">
        <f t="shared" si="13"/>
        <v>42166.666666666672</v>
      </c>
      <c r="M13" s="189">
        <f>[2]обл.ст!$S$129</f>
        <v>45145.759999999995</v>
      </c>
      <c r="N13" s="191">
        <f t="shared" ref="N13:N58" si="14">ROUND(M13/L13*100,1)</f>
        <v>107.1</v>
      </c>
      <c r="O13" s="189">
        <f t="shared" si="10"/>
        <v>13750</v>
      </c>
      <c r="P13" s="189">
        <f>[2]обл.ст!$AA$129</f>
        <v>9093</v>
      </c>
      <c r="Q13" s="191"/>
      <c r="R13" s="189">
        <f t="shared" si="11"/>
        <v>0</v>
      </c>
      <c r="S13" s="189">
        <f>[2]обл.ст!$G$129</f>
        <v>0</v>
      </c>
      <c r="T13" s="245"/>
      <c r="U13" s="189">
        <f t="shared" si="12"/>
        <v>0</v>
      </c>
      <c r="V13" s="189"/>
      <c r="W13" s="191"/>
      <c r="X13" s="222"/>
      <c r="Y13" s="299">
        <f>VALUE(X13*Z13/100)</f>
        <v>0</v>
      </c>
      <c r="Z13" s="308"/>
      <c r="AA13" s="309"/>
      <c r="AB13" s="299">
        <f>VALUE(AA13*AC13/100)</f>
        <v>0</v>
      </c>
      <c r="AC13" s="331"/>
      <c r="AD13" s="310"/>
      <c r="AE13" s="299">
        <f t="shared" si="4"/>
        <v>0</v>
      </c>
      <c r="AF13" s="331">
        <v>21.6</v>
      </c>
      <c r="AG13" s="336">
        <v>203077</v>
      </c>
      <c r="AH13" s="299">
        <v>46000</v>
      </c>
      <c r="AI13" s="299">
        <v>21.6</v>
      </c>
      <c r="AJ13" s="313">
        <v>60750</v>
      </c>
      <c r="AK13" s="299">
        <v>15000</v>
      </c>
      <c r="AL13" s="331">
        <v>21.6</v>
      </c>
      <c r="AM13" s="314"/>
      <c r="AN13" s="299">
        <f t="shared" si="5"/>
        <v>0</v>
      </c>
      <c r="AO13" s="331">
        <v>21.6</v>
      </c>
      <c r="AP13" s="299"/>
      <c r="AQ13" s="299"/>
      <c r="AR13" s="223"/>
    </row>
    <row r="14" spans="1:44" ht="15" customHeight="1" x14ac:dyDescent="0.2">
      <c r="A14" s="274">
        <v>8</v>
      </c>
      <c r="B14" s="67" t="s">
        <v>211</v>
      </c>
      <c r="C14" s="189">
        <f t="shared" si="7"/>
        <v>15422.916666666666</v>
      </c>
      <c r="D14" s="189">
        <f>[4]детск!$C$129</f>
        <v>14431</v>
      </c>
      <c r="E14" s="190">
        <f>ROUND(D14/C14*100,1)</f>
        <v>93.6</v>
      </c>
      <c r="F14" s="189">
        <f t="shared" si="8"/>
        <v>0</v>
      </c>
      <c r="G14" s="189">
        <f>[4]детск!$O$129</f>
        <v>0</v>
      </c>
      <c r="H14" s="191"/>
      <c r="I14" s="189">
        <f t="shared" si="9"/>
        <v>410.66666666666669</v>
      </c>
      <c r="J14" s="189">
        <f>[4]детск!$W$129</f>
        <v>185</v>
      </c>
      <c r="K14" s="191">
        <f>ROUND(J14/I14*100,1)</f>
        <v>45</v>
      </c>
      <c r="L14" s="189">
        <f t="shared" si="13"/>
        <v>25261.5</v>
      </c>
      <c r="M14" s="189">
        <f>[4]детск!$S$129</f>
        <v>22806</v>
      </c>
      <c r="N14" s="191">
        <f>ROUND(M14/L14*100,1)</f>
        <v>90.3</v>
      </c>
      <c r="O14" s="189">
        <f t="shared" si="10"/>
        <v>5755.75</v>
      </c>
      <c r="P14" s="189">
        <f>[4]детск!$AA$129</f>
        <v>4260</v>
      </c>
      <c r="Q14" s="191">
        <f>ROUND(P14/O14*100,1)</f>
        <v>74</v>
      </c>
      <c r="R14" s="189">
        <f t="shared" si="11"/>
        <v>0</v>
      </c>
      <c r="S14" s="189">
        <f>[4]детск!$G$129</f>
        <v>0</v>
      </c>
      <c r="T14" s="191"/>
      <c r="U14" s="189">
        <f t="shared" si="12"/>
        <v>0</v>
      </c>
      <c r="V14" s="189"/>
      <c r="W14" s="191"/>
      <c r="X14" s="248">
        <v>71000</v>
      </c>
      <c r="Y14" s="299">
        <v>16825</v>
      </c>
      <c r="Z14" s="315">
        <v>19.38</v>
      </c>
      <c r="AA14" s="316"/>
      <c r="AB14" s="299">
        <f>VALUE(AA14*AC14/100)</f>
        <v>0</v>
      </c>
      <c r="AC14" s="337"/>
      <c r="AD14" s="318">
        <v>9297</v>
      </c>
      <c r="AE14" s="299">
        <v>448</v>
      </c>
      <c r="AF14" s="337">
        <v>11.26</v>
      </c>
      <c r="AG14" s="338">
        <v>57745</v>
      </c>
      <c r="AH14" s="299">
        <v>27558</v>
      </c>
      <c r="AI14" s="317">
        <v>11.26</v>
      </c>
      <c r="AJ14" s="321">
        <v>26589</v>
      </c>
      <c r="AK14" s="299">
        <v>6279</v>
      </c>
      <c r="AL14" s="337">
        <v>11.26</v>
      </c>
      <c r="AM14" s="322"/>
      <c r="AN14" s="299">
        <f t="shared" si="5"/>
        <v>0</v>
      </c>
      <c r="AO14" s="337">
        <v>11.26</v>
      </c>
      <c r="AP14" s="317"/>
      <c r="AQ14" s="317"/>
      <c r="AR14" s="275">
        <v>11.26</v>
      </c>
    </row>
    <row r="15" spans="1:44" ht="15" customHeight="1" x14ac:dyDescent="0.2">
      <c r="A15" s="274">
        <v>9</v>
      </c>
      <c r="B15" s="67" t="s">
        <v>202</v>
      </c>
      <c r="C15" s="189">
        <f t="shared" si="7"/>
        <v>0</v>
      </c>
      <c r="D15" s="189">
        <f>[3]цпс!$C$129</f>
        <v>0</v>
      </c>
      <c r="E15" s="190"/>
      <c r="F15" s="189">
        <f t="shared" si="8"/>
        <v>0</v>
      </c>
      <c r="G15" s="189">
        <f>[3]цпс!$O$129</f>
        <v>0</v>
      </c>
      <c r="H15" s="191"/>
      <c r="I15" s="189">
        <f t="shared" si="9"/>
        <v>0</v>
      </c>
      <c r="J15" s="189">
        <f>[3]цпс!$W$129</f>
        <v>0</v>
      </c>
      <c r="K15" s="191"/>
      <c r="L15" s="189">
        <f t="shared" si="13"/>
        <v>948.75</v>
      </c>
      <c r="M15" s="189">
        <f>[3]цпс!$S$129</f>
        <v>692</v>
      </c>
      <c r="N15" s="191"/>
      <c r="O15" s="189">
        <f t="shared" si="10"/>
        <v>0</v>
      </c>
      <c r="P15" s="189">
        <f>[3]цпс!$AA$129</f>
        <v>0</v>
      </c>
      <c r="Q15" s="191"/>
      <c r="R15" s="189">
        <f t="shared" si="11"/>
        <v>0</v>
      </c>
      <c r="S15" s="189">
        <f>[3]цпс!$G$129</f>
        <v>0</v>
      </c>
      <c r="T15" s="191"/>
      <c r="U15" s="189">
        <f t="shared" si="12"/>
        <v>0</v>
      </c>
      <c r="V15" s="189"/>
      <c r="W15" s="191"/>
      <c r="X15" s="248"/>
      <c r="Y15" s="299">
        <f>VALUE(X15*Z15/100)</f>
        <v>0</v>
      </c>
      <c r="Z15" s="315"/>
      <c r="AA15" s="316"/>
      <c r="AB15" s="299">
        <f>VALUE(AA15*AC15/100)</f>
        <v>0</v>
      </c>
      <c r="AC15" s="337"/>
      <c r="AD15" s="318"/>
      <c r="AE15" s="299">
        <f>VALUE(AD15*AF15/100)</f>
        <v>0</v>
      </c>
      <c r="AF15" s="337">
        <v>15.3</v>
      </c>
      <c r="AG15" s="338">
        <v>1635</v>
      </c>
      <c r="AH15" s="299">
        <v>1035</v>
      </c>
      <c r="AI15" s="317">
        <v>15.3</v>
      </c>
      <c r="AJ15" s="321">
        <v>0</v>
      </c>
      <c r="AK15" s="299">
        <f>VALUE(AJ15*AL15/100)</f>
        <v>0</v>
      </c>
      <c r="AL15" s="337">
        <v>15.3</v>
      </c>
      <c r="AM15" s="322"/>
      <c r="AN15" s="299">
        <f t="shared" si="5"/>
        <v>0</v>
      </c>
      <c r="AO15" s="337">
        <v>15.3</v>
      </c>
      <c r="AP15" s="317"/>
      <c r="AQ15" s="317"/>
      <c r="AR15" s="275">
        <v>15.3</v>
      </c>
    </row>
    <row r="16" spans="1:44" ht="15" customHeight="1" x14ac:dyDescent="0.25">
      <c r="A16" s="395" t="s">
        <v>271</v>
      </c>
      <c r="B16" s="396"/>
      <c r="C16" s="194">
        <f>SUM(C17:C25)</f>
        <v>60228.666666666664</v>
      </c>
      <c r="D16" s="194">
        <f>SUM(D17:D25)</f>
        <v>51035</v>
      </c>
      <c r="E16" s="187">
        <f>ROUND(D16/AA16*100,1)</f>
        <v>97.6</v>
      </c>
      <c r="F16" s="194">
        <f>SUM(F17:F25)</f>
        <v>23517.083333333336</v>
      </c>
      <c r="G16" s="194">
        <f>SUM(G17:G25)</f>
        <v>15835</v>
      </c>
      <c r="H16" s="193">
        <f>ROUND(G16/F16*100,1)</f>
        <v>67.3</v>
      </c>
      <c r="I16" s="194">
        <f>SUM(I17:I25)</f>
        <v>13941.583333333332</v>
      </c>
      <c r="J16" s="194">
        <f>SUM(J17:J25)</f>
        <v>8076</v>
      </c>
      <c r="K16" s="193">
        <f>ROUND(J16/I16*100,1)</f>
        <v>57.9</v>
      </c>
      <c r="L16" s="194">
        <f>SUM(L17:L25)</f>
        <v>233376.91666666669</v>
      </c>
      <c r="M16" s="194">
        <f>SUM(M17:M25)</f>
        <v>211060.01999999996</v>
      </c>
      <c r="N16" s="192">
        <f>SUM(N17:N57)</f>
        <v>3706.4</v>
      </c>
      <c r="O16" s="194">
        <f>SUM(O17:O25)</f>
        <v>64212.5</v>
      </c>
      <c r="P16" s="194">
        <f>SUM(P17:P25)</f>
        <v>49309</v>
      </c>
      <c r="Q16" s="193">
        <f t="shared" si="2"/>
        <v>76.8</v>
      </c>
      <c r="R16" s="194">
        <f>SUM(R17:R25)</f>
        <v>12022.083333333332</v>
      </c>
      <c r="S16" s="194">
        <f>SUM(S17:S25)</f>
        <v>9998</v>
      </c>
      <c r="T16" s="193">
        <f t="shared" ref="T16:T57" si="15">ROUND(S16/R16*100,1)</f>
        <v>83.2</v>
      </c>
      <c r="U16" s="194">
        <f>SUM(U17:U25)</f>
        <v>299.75</v>
      </c>
      <c r="V16" s="194">
        <f>SUM(V17:V25)</f>
        <v>327</v>
      </c>
      <c r="W16" s="193">
        <f>ROUND(V16/U16*100,1)</f>
        <v>109.1</v>
      </c>
      <c r="X16" s="194">
        <f t="shared" ref="X16:AR16" si="16">SUM(X17:X25)</f>
        <v>115964</v>
      </c>
      <c r="Y16" s="332">
        <f t="shared" si="16"/>
        <v>65704</v>
      </c>
      <c r="Z16" s="332">
        <f t="shared" si="16"/>
        <v>375.65000000000003</v>
      </c>
      <c r="AA16" s="332">
        <f t="shared" si="16"/>
        <v>52300</v>
      </c>
      <c r="AB16" s="332">
        <f t="shared" si="16"/>
        <v>25655</v>
      </c>
      <c r="AC16" s="332">
        <f t="shared" si="16"/>
        <v>410.63</v>
      </c>
      <c r="AD16" s="332">
        <f t="shared" si="16"/>
        <v>21648</v>
      </c>
      <c r="AE16" s="332">
        <f t="shared" si="16"/>
        <v>15209</v>
      </c>
      <c r="AF16" s="332">
        <f t="shared" si="16"/>
        <v>393.19</v>
      </c>
      <c r="AG16" s="332">
        <f t="shared" si="16"/>
        <v>310001</v>
      </c>
      <c r="AH16" s="344">
        <f t="shared" si="16"/>
        <v>254593</v>
      </c>
      <c r="AI16" s="344">
        <f t="shared" si="16"/>
        <v>393.15999999999997</v>
      </c>
      <c r="AJ16" s="344">
        <f t="shared" si="16"/>
        <v>192127</v>
      </c>
      <c r="AK16" s="344">
        <f t="shared" si="16"/>
        <v>70050</v>
      </c>
      <c r="AL16" s="332">
        <f t="shared" si="16"/>
        <v>393.15</v>
      </c>
      <c r="AM16" s="332">
        <f t="shared" si="16"/>
        <v>31986</v>
      </c>
      <c r="AN16" s="332">
        <f t="shared" si="16"/>
        <v>13115</v>
      </c>
      <c r="AO16" s="332">
        <f t="shared" si="16"/>
        <v>337.25000000000006</v>
      </c>
      <c r="AP16" s="332">
        <f t="shared" si="16"/>
        <v>479</v>
      </c>
      <c r="AQ16" s="332">
        <f t="shared" si="16"/>
        <v>327</v>
      </c>
      <c r="AR16" s="194">
        <f t="shared" si="16"/>
        <v>393.15999999999997</v>
      </c>
    </row>
    <row r="17" spans="1:46" ht="15" customHeight="1" x14ac:dyDescent="0.2">
      <c r="A17" s="140">
        <v>10</v>
      </c>
      <c r="B17" s="63" t="s">
        <v>225</v>
      </c>
      <c r="C17" s="189">
        <f t="shared" ref="C17:C25" si="17">Y17/12*11</f>
        <v>4159.8333333333339</v>
      </c>
      <c r="D17" s="189">
        <f>[2]ант!$C$129</f>
        <v>2785</v>
      </c>
      <c r="E17" s="190">
        <f t="shared" ref="E17:E57" si="18">ROUND(D17/C17*100,1)</f>
        <v>66.900000000000006</v>
      </c>
      <c r="F17" s="189">
        <f t="shared" ref="F17:F25" si="19">AB17/12*11</f>
        <v>3923.3333333333335</v>
      </c>
      <c r="G17" s="189">
        <f>[2]ант!$O$129</f>
        <v>2137</v>
      </c>
      <c r="H17" s="191">
        <f t="shared" ref="H17:H35" si="20">ROUND(G17/F17*100,1)</f>
        <v>54.5</v>
      </c>
      <c r="I17" s="189">
        <f t="shared" ref="I17:I25" si="21">AE17/12*11</f>
        <v>1596.8333333333333</v>
      </c>
      <c r="J17" s="189">
        <f>[2]ант!$W$129</f>
        <v>667</v>
      </c>
      <c r="K17" s="191">
        <f>ROUND(J17/I17*100,1)</f>
        <v>41.8</v>
      </c>
      <c r="L17" s="189">
        <f t="shared" ref="L17:L25" si="22">AH17/12*11</f>
        <v>28138</v>
      </c>
      <c r="M17" s="189">
        <f>[2]ант!$S$129</f>
        <v>23813.559999999998</v>
      </c>
      <c r="N17" s="191">
        <f t="shared" si="14"/>
        <v>84.6</v>
      </c>
      <c r="O17" s="189">
        <f t="shared" ref="O17:O25" si="23">AK17/12*11</f>
        <v>8943</v>
      </c>
      <c r="P17" s="189">
        <f>[2]ант!$AA$129</f>
        <v>6668</v>
      </c>
      <c r="Q17" s="191">
        <f t="shared" si="2"/>
        <v>74.599999999999994</v>
      </c>
      <c r="R17" s="189">
        <f t="shared" ref="R17:R25" si="24">AN17/12*11</f>
        <v>1801.25</v>
      </c>
      <c r="S17" s="189">
        <f>[2]ант!$G$129</f>
        <v>1391</v>
      </c>
      <c r="T17" s="191">
        <f t="shared" si="15"/>
        <v>77.2</v>
      </c>
      <c r="U17" s="189">
        <f t="shared" ref="U17:U25" si="25">AQ17/12*11</f>
        <v>0</v>
      </c>
      <c r="V17" s="189"/>
      <c r="W17" s="191"/>
      <c r="X17" s="228">
        <v>3807</v>
      </c>
      <c r="Y17" s="299">
        <v>4538</v>
      </c>
      <c r="Z17" s="333">
        <v>82.21</v>
      </c>
      <c r="AA17" s="309">
        <v>4700</v>
      </c>
      <c r="AB17" s="299">
        <v>4280</v>
      </c>
      <c r="AC17" s="331">
        <v>80.28</v>
      </c>
      <c r="AD17" s="310">
        <v>1966</v>
      </c>
      <c r="AE17" s="299">
        <v>1742</v>
      </c>
      <c r="AF17" s="331">
        <f>81.13</f>
        <v>81.13</v>
      </c>
      <c r="AG17" s="336">
        <v>24504</v>
      </c>
      <c r="AH17" s="299">
        <v>30696</v>
      </c>
      <c r="AI17" s="299">
        <v>81.13</v>
      </c>
      <c r="AJ17" s="313">
        <v>13157</v>
      </c>
      <c r="AK17" s="299">
        <v>9756</v>
      </c>
      <c r="AL17" s="331">
        <v>81.13</v>
      </c>
      <c r="AM17" s="314">
        <v>2190</v>
      </c>
      <c r="AN17" s="339">
        <v>1965</v>
      </c>
      <c r="AO17" s="340">
        <f>67.63+6.41</f>
        <v>74.039999999999992</v>
      </c>
      <c r="AP17" s="324"/>
      <c r="AQ17" s="299">
        <f t="shared" ref="AQ17:AQ56" si="26">VALUE(AP17*AR17/100)</f>
        <v>0</v>
      </c>
      <c r="AR17" s="223">
        <v>81.13</v>
      </c>
      <c r="AS17">
        <f>AM17/12*7</f>
        <v>1277.5</v>
      </c>
      <c r="AT17">
        <f>S17/AS17*100</f>
        <v>108.88454011741683</v>
      </c>
    </row>
    <row r="18" spans="1:46" ht="15" customHeight="1" x14ac:dyDescent="0.2">
      <c r="A18" s="66">
        <v>11</v>
      </c>
      <c r="B18" s="67" t="s">
        <v>226</v>
      </c>
      <c r="C18" s="189">
        <f t="shared" si="17"/>
        <v>596.75</v>
      </c>
      <c r="D18" s="189">
        <f>[2]буй!$C$129</f>
        <v>468</v>
      </c>
      <c r="E18" s="190">
        <f t="shared" si="18"/>
        <v>78.400000000000006</v>
      </c>
      <c r="F18" s="189">
        <f t="shared" si="19"/>
        <v>100.83333333333333</v>
      </c>
      <c r="G18" s="189">
        <f>[2]буй!$O$129</f>
        <v>61</v>
      </c>
      <c r="H18" s="191">
        <f t="shared" si="20"/>
        <v>60.5</v>
      </c>
      <c r="I18" s="189">
        <f t="shared" si="21"/>
        <v>63.25</v>
      </c>
      <c r="J18" s="256">
        <f>[2]буй!$W$129</f>
        <v>35</v>
      </c>
      <c r="K18" s="191">
        <f>ROUND(J18/I18*100,1)</f>
        <v>55.3</v>
      </c>
      <c r="L18" s="189">
        <f t="shared" si="22"/>
        <v>1065.1666666666665</v>
      </c>
      <c r="M18" s="189">
        <f>[2]буй!$S$129</f>
        <v>1003.7</v>
      </c>
      <c r="N18" s="191">
        <f t="shared" si="14"/>
        <v>94.2</v>
      </c>
      <c r="O18" s="189">
        <f t="shared" si="23"/>
        <v>321.75</v>
      </c>
      <c r="P18" s="189">
        <f>[2]буй!$AA$129</f>
        <v>245</v>
      </c>
      <c r="Q18" s="191">
        <f t="shared" si="2"/>
        <v>76.099999999999994</v>
      </c>
      <c r="R18" s="189">
        <f t="shared" si="24"/>
        <v>165</v>
      </c>
      <c r="S18" s="189">
        <f>[2]буй!$G$129</f>
        <v>139</v>
      </c>
      <c r="T18" s="191">
        <f t="shared" si="15"/>
        <v>84.2</v>
      </c>
      <c r="U18" s="189">
        <f t="shared" si="25"/>
        <v>0</v>
      </c>
      <c r="V18" s="189"/>
      <c r="W18" s="191"/>
      <c r="X18" s="222">
        <v>33660</v>
      </c>
      <c r="Y18" s="299">
        <v>651</v>
      </c>
      <c r="Z18" s="333">
        <v>0.96</v>
      </c>
      <c r="AA18" s="309">
        <v>10000</v>
      </c>
      <c r="AB18" s="299">
        <v>110</v>
      </c>
      <c r="AC18" s="331">
        <v>0.45</v>
      </c>
      <c r="AD18" s="310">
        <v>2000</v>
      </c>
      <c r="AE18" s="299">
        <v>69</v>
      </c>
      <c r="AF18" s="331">
        <f>0.84+0.02</f>
        <v>0.86</v>
      </c>
      <c r="AG18" s="336">
        <v>63986</v>
      </c>
      <c r="AH18" s="299">
        <v>1162</v>
      </c>
      <c r="AI18" s="299">
        <v>0.84</v>
      </c>
      <c r="AJ18" s="313">
        <v>52599</v>
      </c>
      <c r="AK18" s="299">
        <v>351</v>
      </c>
      <c r="AL18" s="331">
        <v>0.84</v>
      </c>
      <c r="AM18" s="314">
        <v>11400</v>
      </c>
      <c r="AN18" s="339">
        <v>180</v>
      </c>
      <c r="AO18" s="340">
        <f>1.53+1.21</f>
        <v>2.74</v>
      </c>
      <c r="AP18" s="324"/>
      <c r="AQ18" s="299">
        <f t="shared" si="26"/>
        <v>0</v>
      </c>
      <c r="AR18" s="223">
        <v>0.84</v>
      </c>
      <c r="AS18">
        <f t="shared" ref="AS18:AS74" si="27">AM18/12*7</f>
        <v>6650</v>
      </c>
      <c r="AT18">
        <f t="shared" ref="AT18:AT74" si="28">S18/AS18*100</f>
        <v>2.0902255639097747</v>
      </c>
    </row>
    <row r="19" spans="1:46" ht="15" customHeight="1" x14ac:dyDescent="0.2">
      <c r="A19" s="66">
        <v>12</v>
      </c>
      <c r="B19" s="67" t="s">
        <v>227</v>
      </c>
      <c r="C19" s="189">
        <f t="shared" si="17"/>
        <v>0</v>
      </c>
      <c r="D19" s="189">
        <f>[2]гавр!$C$129</f>
        <v>0</v>
      </c>
      <c r="E19" s="190"/>
      <c r="F19" s="189">
        <f t="shared" si="19"/>
        <v>21.083333333333336</v>
      </c>
      <c r="G19" s="189">
        <f>[2]гавр!$O$129</f>
        <v>12</v>
      </c>
      <c r="H19" s="191">
        <f t="shared" si="20"/>
        <v>56.9</v>
      </c>
      <c r="I19" s="189">
        <f t="shared" si="21"/>
        <v>0</v>
      </c>
      <c r="J19" s="189">
        <f>[2]гавр!$W$129</f>
        <v>0</v>
      </c>
      <c r="K19" s="191"/>
      <c r="L19" s="189">
        <f t="shared" si="22"/>
        <v>154</v>
      </c>
      <c r="M19" s="189">
        <f>[2]гавр!$S$129</f>
        <v>139.46000000000004</v>
      </c>
      <c r="N19" s="191">
        <f t="shared" si="14"/>
        <v>90.6</v>
      </c>
      <c r="O19" s="189">
        <f t="shared" si="23"/>
        <v>44.916666666666664</v>
      </c>
      <c r="P19" s="189">
        <f>[2]гавр!$AA$129</f>
        <v>26</v>
      </c>
      <c r="Q19" s="191">
        <f t="shared" si="2"/>
        <v>57.9</v>
      </c>
      <c r="R19" s="189">
        <f t="shared" si="24"/>
        <v>0</v>
      </c>
      <c r="S19" s="189">
        <f>[2]гавр!$G$129</f>
        <v>0</v>
      </c>
      <c r="T19" s="191"/>
      <c r="U19" s="189">
        <f t="shared" si="25"/>
        <v>0</v>
      </c>
      <c r="V19" s="189"/>
      <c r="W19" s="191"/>
      <c r="X19" s="222"/>
      <c r="Y19" s="299">
        <f>VALUE(X19*Z19/100)</f>
        <v>0</v>
      </c>
      <c r="Z19" s="308"/>
      <c r="AA19" s="309">
        <v>8500</v>
      </c>
      <c r="AB19" s="299">
        <v>23</v>
      </c>
      <c r="AC19" s="331">
        <v>0.33</v>
      </c>
      <c r="AD19" s="310">
        <v>500</v>
      </c>
      <c r="AE19" s="299">
        <v>0</v>
      </c>
      <c r="AF19" s="331">
        <v>0.48</v>
      </c>
      <c r="AG19" s="336">
        <f>30506</f>
        <v>30506</v>
      </c>
      <c r="AH19" s="299">
        <v>168</v>
      </c>
      <c r="AI19" s="299">
        <v>0.48</v>
      </c>
      <c r="AJ19" s="313">
        <v>13108</v>
      </c>
      <c r="AK19" s="299">
        <v>49</v>
      </c>
      <c r="AL19" s="331">
        <v>0.48</v>
      </c>
      <c r="AM19" s="314"/>
      <c r="AN19" s="339">
        <f t="shared" si="5"/>
        <v>0</v>
      </c>
      <c r="AO19" s="340">
        <v>0</v>
      </c>
      <c r="AP19" s="324"/>
      <c r="AQ19" s="299">
        <f t="shared" si="26"/>
        <v>0</v>
      </c>
      <c r="AR19" s="223">
        <v>0.48</v>
      </c>
      <c r="AS19">
        <f t="shared" si="27"/>
        <v>0</v>
      </c>
    </row>
    <row r="20" spans="1:46" ht="15" customHeight="1" x14ac:dyDescent="0.2">
      <c r="A20" s="66">
        <v>13</v>
      </c>
      <c r="B20" s="67" t="s">
        <v>203</v>
      </c>
      <c r="C20" s="189">
        <f t="shared" si="17"/>
        <v>44892.833333333328</v>
      </c>
      <c r="D20" s="189">
        <f>[4]Гал!$C$129</f>
        <v>39286</v>
      </c>
      <c r="E20" s="190">
        <f t="shared" si="18"/>
        <v>87.5</v>
      </c>
      <c r="F20" s="189">
        <f t="shared" si="19"/>
        <v>8772.5</v>
      </c>
      <c r="G20" s="189">
        <f>[4]Гал!$O$129</f>
        <v>5006</v>
      </c>
      <c r="H20" s="191">
        <f t="shared" si="20"/>
        <v>57.1</v>
      </c>
      <c r="I20" s="189">
        <f t="shared" si="21"/>
        <v>6439.583333333333</v>
      </c>
      <c r="J20" s="189">
        <f>[4]Гал!$W$129</f>
        <v>4484</v>
      </c>
      <c r="K20" s="191">
        <f t="shared" ref="K20:K27" si="29">ROUND(J20/I20*100,1)</f>
        <v>69.599999999999994</v>
      </c>
      <c r="L20" s="189">
        <f t="shared" si="22"/>
        <v>117329.66666666667</v>
      </c>
      <c r="M20" s="189">
        <f>[4]Гал!$S$129</f>
        <v>105421.87</v>
      </c>
      <c r="N20" s="191">
        <f t="shared" si="14"/>
        <v>89.9</v>
      </c>
      <c r="O20" s="189">
        <f t="shared" si="23"/>
        <v>30862.333333333332</v>
      </c>
      <c r="P20" s="189">
        <f>[4]Гал!$AA$129</f>
        <v>22784</v>
      </c>
      <c r="Q20" s="191">
        <f t="shared" si="2"/>
        <v>73.8</v>
      </c>
      <c r="R20" s="189">
        <f t="shared" si="24"/>
        <v>5663.166666666667</v>
      </c>
      <c r="S20" s="189">
        <f>[4]Гал!$G$129</f>
        <v>4857</v>
      </c>
      <c r="T20" s="191">
        <f t="shared" si="15"/>
        <v>85.8</v>
      </c>
      <c r="U20" s="189">
        <f t="shared" si="25"/>
        <v>299.75</v>
      </c>
      <c r="V20" s="189">
        <f>[4]Гал!$K$129</f>
        <v>327</v>
      </c>
      <c r="W20" s="191">
        <f>ROUND(V20/U20*100,1)</f>
        <v>109.1</v>
      </c>
      <c r="X20" s="222">
        <v>60200</v>
      </c>
      <c r="Y20" s="299">
        <v>48974</v>
      </c>
      <c r="Z20" s="333">
        <v>62.32</v>
      </c>
      <c r="AA20" s="309">
        <v>8500</v>
      </c>
      <c r="AB20" s="299">
        <v>9570</v>
      </c>
      <c r="AC20" s="331">
        <f>63.44</f>
        <v>63.44</v>
      </c>
      <c r="AD20" s="310">
        <v>10037</v>
      </c>
      <c r="AE20" s="299">
        <v>7025</v>
      </c>
      <c r="AF20" s="331">
        <v>61.28</v>
      </c>
      <c r="AG20" s="336">
        <v>80117</v>
      </c>
      <c r="AH20" s="299">
        <v>127996</v>
      </c>
      <c r="AI20" s="299">
        <v>61.28</v>
      </c>
      <c r="AJ20" s="313">
        <v>52617</v>
      </c>
      <c r="AK20" s="299">
        <v>33668</v>
      </c>
      <c r="AL20" s="331">
        <v>61.28</v>
      </c>
      <c r="AM20" s="314">
        <v>7624</v>
      </c>
      <c r="AN20" s="339">
        <v>6178</v>
      </c>
      <c r="AO20" s="340">
        <f>68.55-0.03</f>
        <v>68.52</v>
      </c>
      <c r="AP20" s="324">
        <v>479</v>
      </c>
      <c r="AQ20" s="299">
        <v>327</v>
      </c>
      <c r="AR20" s="223">
        <v>61.28</v>
      </c>
      <c r="AS20">
        <f t="shared" si="27"/>
        <v>4447.3333333333339</v>
      </c>
      <c r="AT20">
        <f t="shared" si="28"/>
        <v>109.21151251686403</v>
      </c>
    </row>
    <row r="21" spans="1:46" ht="15" customHeight="1" x14ac:dyDescent="0.2">
      <c r="A21" s="66">
        <v>14</v>
      </c>
      <c r="B21" s="67" t="s">
        <v>204</v>
      </c>
      <c r="C21" s="189">
        <f t="shared" si="17"/>
        <v>415.25</v>
      </c>
      <c r="D21" s="189">
        <f>[4]орех!$C$129</f>
        <v>453</v>
      </c>
      <c r="E21" s="190">
        <f t="shared" si="18"/>
        <v>109.1</v>
      </c>
      <c r="F21" s="189">
        <f t="shared" si="19"/>
        <v>3192.75</v>
      </c>
      <c r="G21" s="189">
        <f>[4]орех!$O$129</f>
        <v>3483</v>
      </c>
      <c r="H21" s="191">
        <f t="shared" si="20"/>
        <v>109.1</v>
      </c>
      <c r="I21" s="189">
        <f t="shared" si="21"/>
        <v>48.583333333333336</v>
      </c>
      <c r="J21" s="189">
        <f>[4]орех!$W$129</f>
        <v>53</v>
      </c>
      <c r="K21" s="191">
        <f t="shared" si="29"/>
        <v>109.1</v>
      </c>
      <c r="L21" s="189">
        <f t="shared" si="22"/>
        <v>7517.583333333333</v>
      </c>
      <c r="M21" s="189">
        <f>[4]орех!$S$129</f>
        <v>8200.58</v>
      </c>
      <c r="N21" s="191">
        <f t="shared" si="14"/>
        <v>109.1</v>
      </c>
      <c r="O21" s="189">
        <f t="shared" si="23"/>
        <v>2566.666666666667</v>
      </c>
      <c r="P21" s="189">
        <f>[4]орех!$AA$129</f>
        <v>2800</v>
      </c>
      <c r="Q21" s="191">
        <f t="shared" si="2"/>
        <v>109.1</v>
      </c>
      <c r="R21" s="189">
        <f t="shared" si="24"/>
        <v>0</v>
      </c>
      <c r="S21" s="189">
        <f>[4]орех!$G$129</f>
        <v>0</v>
      </c>
      <c r="T21" s="191"/>
      <c r="U21" s="189">
        <f t="shared" si="25"/>
        <v>0</v>
      </c>
      <c r="V21" s="189"/>
      <c r="W21" s="191"/>
      <c r="X21" s="227">
        <v>900</v>
      </c>
      <c r="Y21" s="299">
        <v>453</v>
      </c>
      <c r="Z21" s="308">
        <v>69.77</v>
      </c>
      <c r="AA21" s="309">
        <v>5000</v>
      </c>
      <c r="AB21" s="299">
        <v>3483</v>
      </c>
      <c r="AC21" s="331">
        <f>84.13+0.01</f>
        <v>84.14</v>
      </c>
      <c r="AD21" s="310">
        <v>500</v>
      </c>
      <c r="AE21" s="299">
        <v>53</v>
      </c>
      <c r="AF21" s="331">
        <v>75.69</v>
      </c>
      <c r="AG21" s="336">
        <v>4868</v>
      </c>
      <c r="AH21" s="299">
        <v>8201</v>
      </c>
      <c r="AI21" s="299">
        <v>75.69</v>
      </c>
      <c r="AJ21" s="313">
        <v>8960</v>
      </c>
      <c r="AK21" s="299">
        <v>2800</v>
      </c>
      <c r="AL21" s="331">
        <f>75.69-0.01</f>
        <v>75.679999999999993</v>
      </c>
      <c r="AM21" s="314"/>
      <c r="AN21" s="339">
        <f t="shared" si="5"/>
        <v>0</v>
      </c>
      <c r="AO21" s="340">
        <v>0</v>
      </c>
      <c r="AP21" s="324"/>
      <c r="AQ21" s="299">
        <f t="shared" si="26"/>
        <v>0</v>
      </c>
      <c r="AR21" s="223">
        <v>75.69</v>
      </c>
      <c r="AS21">
        <f t="shared" si="27"/>
        <v>0</v>
      </c>
    </row>
    <row r="22" spans="1:46" ht="15" customHeight="1" x14ac:dyDescent="0.2">
      <c r="A22" s="66">
        <v>15</v>
      </c>
      <c r="B22" s="67" t="s">
        <v>228</v>
      </c>
      <c r="C22" s="189">
        <f t="shared" si="17"/>
        <v>4062.6666666666665</v>
      </c>
      <c r="D22" s="189">
        <f>[2]пар!$C$129</f>
        <v>3051</v>
      </c>
      <c r="E22" s="190">
        <f t="shared" si="18"/>
        <v>75.099999999999994</v>
      </c>
      <c r="F22" s="189">
        <f t="shared" si="19"/>
        <v>2966.3333333333335</v>
      </c>
      <c r="G22" s="189">
        <f>[2]пар!$O$129</f>
        <v>2261</v>
      </c>
      <c r="H22" s="191">
        <f t="shared" si="20"/>
        <v>76.2</v>
      </c>
      <c r="I22" s="189">
        <f t="shared" si="21"/>
        <v>2043.25</v>
      </c>
      <c r="J22" s="189">
        <f>[2]пар!$W$129</f>
        <v>1197</v>
      </c>
      <c r="K22" s="191">
        <f t="shared" si="29"/>
        <v>58.6</v>
      </c>
      <c r="L22" s="189">
        <f t="shared" si="22"/>
        <v>26448.583333333332</v>
      </c>
      <c r="M22" s="189">
        <f>[2]пар!$S$129</f>
        <v>23746.460000000003</v>
      </c>
      <c r="N22" s="191">
        <f t="shared" si="14"/>
        <v>89.8</v>
      </c>
      <c r="O22" s="189">
        <f t="shared" si="23"/>
        <v>9514.0833333333321</v>
      </c>
      <c r="P22" s="189">
        <f>[2]пар!$AA$129</f>
        <v>7183</v>
      </c>
      <c r="Q22" s="191">
        <f t="shared" si="2"/>
        <v>75.5</v>
      </c>
      <c r="R22" s="189">
        <f t="shared" si="24"/>
        <v>1522.5833333333333</v>
      </c>
      <c r="S22" s="189">
        <f>[2]пар!$G$129</f>
        <v>1246</v>
      </c>
      <c r="T22" s="191">
        <f t="shared" si="15"/>
        <v>81.8</v>
      </c>
      <c r="U22" s="189">
        <f t="shared" si="25"/>
        <v>0</v>
      </c>
      <c r="V22" s="189"/>
      <c r="W22" s="191"/>
      <c r="X22" s="222">
        <v>3861</v>
      </c>
      <c r="Y22" s="299">
        <v>4432</v>
      </c>
      <c r="Z22" s="308">
        <v>69.72</v>
      </c>
      <c r="AA22" s="309">
        <v>4500</v>
      </c>
      <c r="AB22" s="299">
        <v>3236</v>
      </c>
      <c r="AC22" s="331">
        <v>76.14</v>
      </c>
      <c r="AD22" s="310">
        <v>1545</v>
      </c>
      <c r="AE22" s="299">
        <v>2229</v>
      </c>
      <c r="AF22" s="331">
        <v>76.52</v>
      </c>
      <c r="AG22" s="336">
        <v>19528</v>
      </c>
      <c r="AH22" s="299">
        <v>28853</v>
      </c>
      <c r="AI22" s="299">
        <v>76.52</v>
      </c>
      <c r="AJ22" s="313">
        <v>14080</v>
      </c>
      <c r="AK22" s="299">
        <v>10379</v>
      </c>
      <c r="AL22" s="331">
        <v>76.52</v>
      </c>
      <c r="AM22" s="314">
        <v>1971</v>
      </c>
      <c r="AN22" s="339">
        <v>1661</v>
      </c>
      <c r="AO22" s="340">
        <f>69.4+3.17</f>
        <v>72.570000000000007</v>
      </c>
      <c r="AP22" s="324"/>
      <c r="AQ22" s="299">
        <f t="shared" si="26"/>
        <v>0</v>
      </c>
      <c r="AR22" s="223">
        <v>76.52</v>
      </c>
      <c r="AS22">
        <f t="shared" si="27"/>
        <v>1149.75</v>
      </c>
      <c r="AT22">
        <f t="shared" si="28"/>
        <v>108.37138508371385</v>
      </c>
    </row>
    <row r="23" spans="1:46" ht="15" customHeight="1" x14ac:dyDescent="0.2">
      <c r="A23" s="66">
        <v>16</v>
      </c>
      <c r="B23" s="67" t="s">
        <v>229</v>
      </c>
      <c r="C23" s="189">
        <f t="shared" si="17"/>
        <v>2405.333333333333</v>
      </c>
      <c r="D23" s="189">
        <f>[3]СОЛИГ!$C$129</f>
        <v>1648</v>
      </c>
      <c r="E23" s="190">
        <f t="shared" si="18"/>
        <v>68.5</v>
      </c>
      <c r="F23" s="189">
        <f t="shared" si="19"/>
        <v>3166.1666666666665</v>
      </c>
      <c r="G23" s="189">
        <f>[3]СОЛИГ!$O$129</f>
        <v>2417</v>
      </c>
      <c r="H23" s="191">
        <f t="shared" si="20"/>
        <v>76.3</v>
      </c>
      <c r="I23" s="189">
        <f t="shared" si="21"/>
        <v>1862.6666666666667</v>
      </c>
      <c r="J23" s="189">
        <f>[3]СОЛИГ!$W$129</f>
        <v>1017</v>
      </c>
      <c r="K23" s="191">
        <f t="shared" si="29"/>
        <v>54.6</v>
      </c>
      <c r="L23" s="189">
        <f t="shared" si="22"/>
        <v>24047.833333333332</v>
      </c>
      <c r="M23" s="189">
        <f>[3]СОЛИГ!$S$129</f>
        <v>21898.750000000004</v>
      </c>
      <c r="N23" s="191">
        <f t="shared" si="14"/>
        <v>91.1</v>
      </c>
      <c r="O23" s="189">
        <f t="shared" si="23"/>
        <v>6161.833333333333</v>
      </c>
      <c r="P23" s="189">
        <f>[3]СОЛИГ!$AA$129</f>
        <v>4437</v>
      </c>
      <c r="Q23" s="191">
        <f t="shared" si="2"/>
        <v>72</v>
      </c>
      <c r="R23" s="189">
        <f t="shared" si="24"/>
        <v>1546.4166666666667</v>
      </c>
      <c r="S23" s="189">
        <f>[3]СОЛИГ!$G$129</f>
        <v>1263</v>
      </c>
      <c r="T23" s="191">
        <f t="shared" si="15"/>
        <v>81.7</v>
      </c>
      <c r="U23" s="189">
        <f t="shared" si="25"/>
        <v>0</v>
      </c>
      <c r="V23" s="189"/>
      <c r="W23" s="191"/>
      <c r="X23" s="222">
        <v>3744</v>
      </c>
      <c r="Y23" s="299">
        <v>2624</v>
      </c>
      <c r="Z23" s="308">
        <v>55.05</v>
      </c>
      <c r="AA23" s="309">
        <v>5000</v>
      </c>
      <c r="AB23" s="299">
        <v>3454</v>
      </c>
      <c r="AC23" s="331">
        <v>64.56</v>
      </c>
      <c r="AD23" s="310">
        <v>2100</v>
      </c>
      <c r="AE23" s="299">
        <v>2032</v>
      </c>
      <c r="AF23" s="331">
        <f>61.22+0.01</f>
        <v>61.23</v>
      </c>
      <c r="AG23" s="336">
        <v>20592</v>
      </c>
      <c r="AH23" s="299">
        <v>26234</v>
      </c>
      <c r="AI23" s="299">
        <v>61.22</v>
      </c>
      <c r="AJ23" s="313">
        <v>13046</v>
      </c>
      <c r="AK23" s="299">
        <v>6722</v>
      </c>
      <c r="AL23" s="331">
        <v>61.22</v>
      </c>
      <c r="AM23" s="314">
        <v>2994</v>
      </c>
      <c r="AN23" s="339">
        <v>1687</v>
      </c>
      <c r="AO23" s="340">
        <f>43.63+10.84</f>
        <v>54.47</v>
      </c>
      <c r="AP23" s="324"/>
      <c r="AQ23" s="299">
        <f t="shared" si="26"/>
        <v>0</v>
      </c>
      <c r="AR23" s="223">
        <v>61.22</v>
      </c>
      <c r="AS23">
        <f t="shared" si="27"/>
        <v>1746.5</v>
      </c>
      <c r="AT23">
        <f t="shared" si="28"/>
        <v>72.316060692814204</v>
      </c>
    </row>
    <row r="24" spans="1:46" ht="15" customHeight="1" x14ac:dyDescent="0.2">
      <c r="A24" s="66">
        <v>17</v>
      </c>
      <c r="B24" s="67" t="s">
        <v>230</v>
      </c>
      <c r="C24" s="189">
        <f t="shared" si="17"/>
        <v>3641</v>
      </c>
      <c r="D24" s="189">
        <f>[4]чухлом!$C$129</f>
        <v>3309</v>
      </c>
      <c r="E24" s="190">
        <f t="shared" si="18"/>
        <v>90.9</v>
      </c>
      <c r="F24" s="189">
        <f t="shared" si="19"/>
        <v>1342.9166666666665</v>
      </c>
      <c r="G24" s="189">
        <f>[4]чухлом!$O$129</f>
        <v>437</v>
      </c>
      <c r="H24" s="191">
        <f t="shared" si="20"/>
        <v>32.5</v>
      </c>
      <c r="I24" s="189">
        <f t="shared" si="21"/>
        <v>1839.75</v>
      </c>
      <c r="J24" s="262">
        <f>[4]чухлом!$W$129</f>
        <v>611</v>
      </c>
      <c r="K24" s="191">
        <f t="shared" si="29"/>
        <v>33.200000000000003</v>
      </c>
      <c r="L24" s="189">
        <f t="shared" si="22"/>
        <v>28479.916666666668</v>
      </c>
      <c r="M24" s="262">
        <f>[4]чухлом!$S$129</f>
        <v>26653.84</v>
      </c>
      <c r="N24" s="191">
        <f t="shared" si="14"/>
        <v>93.6</v>
      </c>
      <c r="O24" s="189">
        <f t="shared" si="23"/>
        <v>5678.75</v>
      </c>
      <c r="P24" s="189">
        <f>[4]чухлом!$AA$129</f>
        <v>5083</v>
      </c>
      <c r="Q24" s="191">
        <f t="shared" si="2"/>
        <v>89.5</v>
      </c>
      <c r="R24" s="189">
        <f t="shared" si="24"/>
        <v>1284.25</v>
      </c>
      <c r="S24" s="189">
        <f>[4]чухлом!$G$129</f>
        <v>1079</v>
      </c>
      <c r="T24" s="191">
        <f t="shared" si="15"/>
        <v>84</v>
      </c>
      <c r="U24" s="189">
        <f t="shared" si="25"/>
        <v>0</v>
      </c>
      <c r="V24" s="189"/>
      <c r="W24" s="191"/>
      <c r="X24" s="222">
        <v>6912</v>
      </c>
      <c r="Y24" s="299">
        <v>3972</v>
      </c>
      <c r="Z24" s="308">
        <v>34.69</v>
      </c>
      <c r="AA24" s="309">
        <v>3500</v>
      </c>
      <c r="AB24" s="299">
        <v>1465</v>
      </c>
      <c r="AC24" s="331">
        <v>40.57</v>
      </c>
      <c r="AD24" s="310">
        <v>1000</v>
      </c>
      <c r="AE24" s="299">
        <v>2007</v>
      </c>
      <c r="AF24" s="331">
        <v>35.1</v>
      </c>
      <c r="AG24" s="336">
        <v>47072</v>
      </c>
      <c r="AH24" s="299">
        <v>31069</v>
      </c>
      <c r="AI24" s="299">
        <v>35.1</v>
      </c>
      <c r="AJ24" s="313">
        <v>14232</v>
      </c>
      <c r="AK24" s="299">
        <v>6195</v>
      </c>
      <c r="AL24" s="331">
        <v>35.1</v>
      </c>
      <c r="AM24" s="314">
        <v>3477</v>
      </c>
      <c r="AN24" s="339">
        <v>1401</v>
      </c>
      <c r="AO24" s="340">
        <f>36.04+5.81</f>
        <v>41.85</v>
      </c>
      <c r="AP24" s="324"/>
      <c r="AQ24" s="299">
        <f t="shared" si="26"/>
        <v>0</v>
      </c>
      <c r="AR24" s="223">
        <v>35.1</v>
      </c>
      <c r="AS24">
        <f t="shared" si="27"/>
        <v>2028.25</v>
      </c>
      <c r="AT24">
        <f t="shared" si="28"/>
        <v>53.198570195981752</v>
      </c>
    </row>
    <row r="25" spans="1:46" ht="15" customHeight="1" x14ac:dyDescent="0.2">
      <c r="A25" s="274">
        <v>18</v>
      </c>
      <c r="B25" s="278" t="s">
        <v>247</v>
      </c>
      <c r="C25" s="189">
        <f t="shared" si="17"/>
        <v>55</v>
      </c>
      <c r="D25" s="189">
        <f>[2]сус!$C$129</f>
        <v>35</v>
      </c>
      <c r="E25" s="190">
        <f>ROUND(D25/C25*100,1)</f>
        <v>63.6</v>
      </c>
      <c r="F25" s="189">
        <f t="shared" si="19"/>
        <v>31.166666666666668</v>
      </c>
      <c r="G25" s="189">
        <f>[2]сус!$O$129</f>
        <v>21</v>
      </c>
      <c r="H25" s="191">
        <f>ROUND(G25/F25*100,1)</f>
        <v>67.400000000000006</v>
      </c>
      <c r="I25" s="189">
        <f t="shared" si="21"/>
        <v>47.666666666666664</v>
      </c>
      <c r="J25" s="189">
        <f>[2]сус!$W$129</f>
        <v>12</v>
      </c>
      <c r="K25" s="191">
        <f t="shared" si="29"/>
        <v>25.2</v>
      </c>
      <c r="L25" s="189">
        <f t="shared" si="22"/>
        <v>196.16666666666666</v>
      </c>
      <c r="M25" s="189">
        <f>[2]сус!$S$129</f>
        <v>181.80000000000004</v>
      </c>
      <c r="N25" s="191">
        <f>ROUND(M25/L25*100,1)</f>
        <v>92.7</v>
      </c>
      <c r="O25" s="189">
        <f t="shared" si="23"/>
        <v>119.16666666666667</v>
      </c>
      <c r="P25" s="189">
        <f>[2]сус!$AA$129</f>
        <v>83</v>
      </c>
      <c r="Q25" s="191">
        <f>ROUND(P25/O25*100,1)</f>
        <v>69.7</v>
      </c>
      <c r="R25" s="189">
        <f t="shared" si="24"/>
        <v>39.416666666666671</v>
      </c>
      <c r="S25" s="189">
        <f>[2]сус!$G$129</f>
        <v>23</v>
      </c>
      <c r="T25" s="191">
        <f>ROUND(S25/R25*100,1)</f>
        <v>58.4</v>
      </c>
      <c r="U25" s="189">
        <f t="shared" si="25"/>
        <v>0</v>
      </c>
      <c r="V25" s="189"/>
      <c r="W25" s="191"/>
      <c r="X25" s="222">
        <v>2880</v>
      </c>
      <c r="Y25" s="299">
        <v>60</v>
      </c>
      <c r="Z25" s="308">
        <v>0.93</v>
      </c>
      <c r="AA25" s="309">
        <v>2600</v>
      </c>
      <c r="AB25" s="299">
        <v>34</v>
      </c>
      <c r="AC25" s="331">
        <v>0.72</v>
      </c>
      <c r="AD25" s="310">
        <v>2000</v>
      </c>
      <c r="AE25" s="299">
        <v>52</v>
      </c>
      <c r="AF25" s="331">
        <v>0.9</v>
      </c>
      <c r="AG25" s="336">
        <v>18828</v>
      </c>
      <c r="AH25" s="299">
        <v>214</v>
      </c>
      <c r="AI25" s="299">
        <v>0.9</v>
      </c>
      <c r="AJ25" s="313">
        <v>10328</v>
      </c>
      <c r="AK25" s="299">
        <v>130</v>
      </c>
      <c r="AL25" s="331">
        <v>0.9</v>
      </c>
      <c r="AM25" s="314">
        <v>2330</v>
      </c>
      <c r="AN25" s="339">
        <v>43</v>
      </c>
      <c r="AO25" s="340">
        <f>1.1+21.96</f>
        <v>23.060000000000002</v>
      </c>
      <c r="AP25" s="324"/>
      <c r="AQ25" s="299">
        <f t="shared" si="26"/>
        <v>0</v>
      </c>
      <c r="AR25" s="223">
        <v>0.9</v>
      </c>
      <c r="AS25">
        <f t="shared" si="27"/>
        <v>1359.1666666666665</v>
      </c>
      <c r="AT25">
        <f t="shared" si="28"/>
        <v>1.6922133660331087</v>
      </c>
    </row>
    <row r="26" spans="1:46" ht="15" customHeight="1" x14ac:dyDescent="0.25">
      <c r="A26" s="391" t="s">
        <v>272</v>
      </c>
      <c r="B26" s="392"/>
      <c r="C26" s="194">
        <f>SUM(C27:C33)</f>
        <v>35791.25</v>
      </c>
      <c r="D26" s="194">
        <f>SUM(D27:D33)</f>
        <v>31681</v>
      </c>
      <c r="E26" s="187">
        <f t="shared" si="18"/>
        <v>88.5</v>
      </c>
      <c r="F26" s="194">
        <f>SUM(F27:F33)</f>
        <v>20173.999999999996</v>
      </c>
      <c r="G26" s="194">
        <f>SUM(G27:G33)</f>
        <v>15966</v>
      </c>
      <c r="H26" s="276"/>
      <c r="I26" s="194">
        <f>SUM(I27:I33)</f>
        <v>6757.6666666666661</v>
      </c>
      <c r="J26" s="194">
        <f>SUM(J27:J33)</f>
        <v>3055</v>
      </c>
      <c r="K26" s="193">
        <f t="shared" si="29"/>
        <v>45.2</v>
      </c>
      <c r="L26" s="194">
        <f>SUM(L27:L33)</f>
        <v>131538.91666666666</v>
      </c>
      <c r="M26" s="194">
        <f>SUM(M27:M33)</f>
        <v>119051.12999999999</v>
      </c>
      <c r="N26" s="193">
        <f>ROUND(M26/L26*100,1)</f>
        <v>90.5</v>
      </c>
      <c r="O26" s="194">
        <f>SUM(O27:O33)</f>
        <v>37600.75</v>
      </c>
      <c r="P26" s="194">
        <f>SUM(P27:P33)</f>
        <v>28496</v>
      </c>
      <c r="Q26" s="193">
        <f t="shared" si="2"/>
        <v>75.8</v>
      </c>
      <c r="R26" s="194">
        <f>SUM(R27:R33)</f>
        <v>8658.8333333333339</v>
      </c>
      <c r="S26" s="194">
        <f>SUM(S27:S33)</f>
        <v>7331</v>
      </c>
      <c r="T26" s="193">
        <f>ROUND(S26/R26*100,1)</f>
        <v>84.7</v>
      </c>
      <c r="U26" s="194">
        <f>SUM(U27:U33)</f>
        <v>0</v>
      </c>
      <c r="V26" s="194">
        <f>SUM(V27:V33)</f>
        <v>0</v>
      </c>
      <c r="W26" s="193" t="e">
        <f>ROUND(V26/U26*100,1)</f>
        <v>#DIV/0!</v>
      </c>
      <c r="X26" s="194">
        <f t="shared" ref="X26:AR26" si="30">SUM(X27:X33)</f>
        <v>80210</v>
      </c>
      <c r="Y26" s="332">
        <f t="shared" si="30"/>
        <v>39045</v>
      </c>
      <c r="Z26" s="332">
        <f t="shared" si="30"/>
        <v>169.25</v>
      </c>
      <c r="AA26" s="332">
        <f t="shared" si="30"/>
        <v>48900</v>
      </c>
      <c r="AB26" s="332">
        <f t="shared" si="30"/>
        <v>22008</v>
      </c>
      <c r="AC26" s="332">
        <f t="shared" si="30"/>
        <v>234.25</v>
      </c>
      <c r="AD26" s="332">
        <f t="shared" si="30"/>
        <v>9252</v>
      </c>
      <c r="AE26" s="332">
        <f t="shared" si="30"/>
        <v>7372</v>
      </c>
      <c r="AF26" s="332">
        <f t="shared" si="30"/>
        <v>233.86</v>
      </c>
      <c r="AG26" s="332">
        <f t="shared" si="30"/>
        <v>233318</v>
      </c>
      <c r="AH26" s="344">
        <f t="shared" si="30"/>
        <v>143497</v>
      </c>
      <c r="AI26" s="344">
        <f t="shared" si="30"/>
        <v>233.83</v>
      </c>
      <c r="AJ26" s="344">
        <f t="shared" si="30"/>
        <v>120012</v>
      </c>
      <c r="AK26" s="344">
        <f t="shared" si="30"/>
        <v>41019</v>
      </c>
      <c r="AL26" s="332">
        <f t="shared" si="30"/>
        <v>233.85999999999999</v>
      </c>
      <c r="AM26" s="332">
        <f t="shared" si="30"/>
        <v>21399</v>
      </c>
      <c r="AN26" s="332">
        <f t="shared" si="30"/>
        <v>9446</v>
      </c>
      <c r="AO26" s="332">
        <f>SUM(AO27:AO33)</f>
        <v>183.05</v>
      </c>
      <c r="AP26" s="332">
        <f t="shared" si="30"/>
        <v>0</v>
      </c>
      <c r="AQ26" s="332">
        <f t="shared" si="30"/>
        <v>0</v>
      </c>
      <c r="AR26" s="194">
        <f t="shared" si="30"/>
        <v>233.86</v>
      </c>
      <c r="AS26">
        <f t="shared" si="27"/>
        <v>12482.75</v>
      </c>
      <c r="AT26">
        <f t="shared" si="28"/>
        <v>58.729046083595357</v>
      </c>
    </row>
    <row r="27" spans="1:46" ht="15" customHeight="1" x14ac:dyDescent="0.2">
      <c r="A27" s="66">
        <v>19</v>
      </c>
      <c r="B27" s="67" t="s">
        <v>231</v>
      </c>
      <c r="C27" s="189">
        <f t="shared" ref="C27:C33" si="31">Y27/12*11</f>
        <v>3941.6666666666665</v>
      </c>
      <c r="D27" s="189">
        <f>[4]кадый!$C$129</f>
        <v>2912</v>
      </c>
      <c r="E27" s="190">
        <f t="shared" si="18"/>
        <v>73.900000000000006</v>
      </c>
      <c r="F27" s="189">
        <f t="shared" ref="F27:F33" si="32">AB27/12*11</f>
        <v>3674</v>
      </c>
      <c r="G27" s="189">
        <f>[4]кадый!$O$129</f>
        <v>2581</v>
      </c>
      <c r="H27" s="191">
        <f t="shared" si="20"/>
        <v>70.3</v>
      </c>
      <c r="I27" s="189">
        <f t="shared" ref="I27:I33" si="33">AE27/12*11</f>
        <v>2574</v>
      </c>
      <c r="J27" s="189">
        <f>[4]кадый!$W$129</f>
        <v>1344</v>
      </c>
      <c r="K27" s="191">
        <f t="shared" si="29"/>
        <v>52.2</v>
      </c>
      <c r="L27" s="189">
        <f t="shared" ref="L27:L33" si="34">AH27/12*11</f>
        <v>18574.416666666664</v>
      </c>
      <c r="M27" s="189">
        <f>[4]кадый!$S$129</f>
        <v>16135.32</v>
      </c>
      <c r="N27" s="191">
        <f t="shared" si="14"/>
        <v>86.9</v>
      </c>
      <c r="O27" s="189">
        <f t="shared" ref="O27:O33" si="35">AK27/12*11</f>
        <v>6455.166666666667</v>
      </c>
      <c r="P27" s="189">
        <f>[4]кадый!$AA$129</f>
        <v>4974</v>
      </c>
      <c r="Q27" s="191">
        <f t="shared" si="2"/>
        <v>77.099999999999994</v>
      </c>
      <c r="R27" s="189">
        <f t="shared" ref="R27:R33" si="36">AN27/12*11</f>
        <v>1298.9166666666665</v>
      </c>
      <c r="S27" s="189">
        <f>[4]кадый!$G$129</f>
        <v>1052</v>
      </c>
      <c r="T27" s="191">
        <f t="shared" si="15"/>
        <v>81</v>
      </c>
      <c r="U27" s="189">
        <f t="shared" ref="U27:U33" si="37">AQ27/12*11</f>
        <v>0</v>
      </c>
      <c r="V27" s="189"/>
      <c r="W27" s="191"/>
      <c r="X27" s="222">
        <v>4896</v>
      </c>
      <c r="Y27" s="299">
        <v>4300</v>
      </c>
      <c r="Z27" s="308">
        <v>55.69</v>
      </c>
      <c r="AA27" s="309">
        <v>5250</v>
      </c>
      <c r="AB27" s="299">
        <v>4008</v>
      </c>
      <c r="AC27" s="331">
        <v>51.26</v>
      </c>
      <c r="AD27" s="310">
        <v>2000</v>
      </c>
      <c r="AE27" s="299">
        <v>2808</v>
      </c>
      <c r="AF27" s="331">
        <f>52.24</f>
        <v>52.24</v>
      </c>
      <c r="AG27" s="336">
        <v>20957</v>
      </c>
      <c r="AH27" s="299">
        <v>20263</v>
      </c>
      <c r="AI27" s="299">
        <v>52.24</v>
      </c>
      <c r="AJ27" s="313">
        <v>13342</v>
      </c>
      <c r="AK27" s="299">
        <v>7042</v>
      </c>
      <c r="AL27" s="331">
        <v>52.24</v>
      </c>
      <c r="AM27" s="314">
        <v>2141</v>
      </c>
      <c r="AN27" s="339">
        <v>1417</v>
      </c>
      <c r="AO27" s="340">
        <f>53.64+2.45</f>
        <v>56.09</v>
      </c>
      <c r="AP27" s="324"/>
      <c r="AQ27" s="299">
        <f t="shared" si="26"/>
        <v>0</v>
      </c>
      <c r="AR27" s="223">
        <v>52.24</v>
      </c>
      <c r="AS27">
        <f t="shared" si="27"/>
        <v>1248.9166666666665</v>
      </c>
      <c r="AT27">
        <f t="shared" si="28"/>
        <v>84.23300193501035</v>
      </c>
    </row>
    <row r="28" spans="1:46" ht="15" customHeight="1" x14ac:dyDescent="0.2">
      <c r="A28" s="66">
        <v>20</v>
      </c>
      <c r="B28" s="67" t="s">
        <v>232</v>
      </c>
      <c r="C28" s="189">
        <f t="shared" si="31"/>
        <v>13.75</v>
      </c>
      <c r="D28" s="189">
        <f>[2]кол!$C$129</f>
        <v>3</v>
      </c>
      <c r="E28" s="190">
        <f t="shared" si="18"/>
        <v>21.8</v>
      </c>
      <c r="F28" s="189">
        <f t="shared" si="32"/>
        <v>0</v>
      </c>
      <c r="G28" s="189">
        <f>[2]кол!$O$129</f>
        <v>0</v>
      </c>
      <c r="H28" s="191"/>
      <c r="I28" s="189">
        <f t="shared" si="33"/>
        <v>0</v>
      </c>
      <c r="J28" s="189">
        <f>[2]кол!$W$129</f>
        <v>0</v>
      </c>
      <c r="K28" s="191"/>
      <c r="L28" s="189">
        <f t="shared" si="34"/>
        <v>132</v>
      </c>
      <c r="M28" s="189">
        <f>[2]кол!$S$129</f>
        <v>128.03</v>
      </c>
      <c r="N28" s="191">
        <f t="shared" si="14"/>
        <v>97</v>
      </c>
      <c r="O28" s="189">
        <f t="shared" si="35"/>
        <v>41.25</v>
      </c>
      <c r="P28" s="189">
        <f>[2]кол!$AA$129</f>
        <v>28</v>
      </c>
      <c r="Q28" s="191">
        <f t="shared" si="2"/>
        <v>67.900000000000006</v>
      </c>
      <c r="R28" s="189">
        <f t="shared" si="36"/>
        <v>21.083333333333336</v>
      </c>
      <c r="S28" s="189">
        <f>[2]кол!$G$129</f>
        <v>16</v>
      </c>
      <c r="T28" s="191">
        <f t="shared" si="15"/>
        <v>75.900000000000006</v>
      </c>
      <c r="U28" s="189">
        <f t="shared" si="37"/>
        <v>0</v>
      </c>
      <c r="V28" s="189"/>
      <c r="W28" s="191"/>
      <c r="X28" s="222">
        <v>3300</v>
      </c>
      <c r="Y28" s="299">
        <v>15</v>
      </c>
      <c r="Z28" s="308">
        <v>1.31</v>
      </c>
      <c r="AA28" s="309">
        <v>4250</v>
      </c>
      <c r="AB28" s="299">
        <v>0</v>
      </c>
      <c r="AC28" s="331">
        <f>0.89+0.92</f>
        <v>1.81</v>
      </c>
      <c r="AD28" s="310">
        <v>534</v>
      </c>
      <c r="AE28" s="331">
        <v>0</v>
      </c>
      <c r="AF28" s="331">
        <v>0.89</v>
      </c>
      <c r="AG28" s="336">
        <v>21637</v>
      </c>
      <c r="AH28" s="299">
        <v>144</v>
      </c>
      <c r="AI28" s="299">
        <v>0.89</v>
      </c>
      <c r="AJ28" s="313">
        <v>6930</v>
      </c>
      <c r="AK28" s="299">
        <v>45</v>
      </c>
      <c r="AL28" s="331">
        <v>0.89</v>
      </c>
      <c r="AM28" s="314">
        <v>1906</v>
      </c>
      <c r="AN28" s="339">
        <v>23</v>
      </c>
      <c r="AO28" s="340">
        <v>0.45</v>
      </c>
      <c r="AP28" s="324"/>
      <c r="AQ28" s="299">
        <f t="shared" si="26"/>
        <v>0</v>
      </c>
      <c r="AR28" s="223">
        <v>0.89</v>
      </c>
      <c r="AS28">
        <f t="shared" si="27"/>
        <v>1111.8333333333335</v>
      </c>
      <c r="AT28">
        <f t="shared" si="28"/>
        <v>1.4390646080047966</v>
      </c>
    </row>
    <row r="29" spans="1:46" ht="15" customHeight="1" x14ac:dyDescent="0.2">
      <c r="A29" s="66">
        <v>21</v>
      </c>
      <c r="B29" s="67" t="s">
        <v>233</v>
      </c>
      <c r="C29" s="189">
        <f t="shared" si="31"/>
        <v>5599.9166666666661</v>
      </c>
      <c r="D29" s="189">
        <f>[3]МАК!$C$129</f>
        <v>4664</v>
      </c>
      <c r="E29" s="190">
        <f t="shared" si="18"/>
        <v>83.3</v>
      </c>
      <c r="F29" s="189">
        <f t="shared" si="32"/>
        <v>5200.25</v>
      </c>
      <c r="G29" s="189">
        <f>[3]МАК!$O$129</f>
        <v>4314</v>
      </c>
      <c r="H29" s="191">
        <f t="shared" si="20"/>
        <v>83</v>
      </c>
      <c r="I29" s="189">
        <f t="shared" si="33"/>
        <v>892.83333333333337</v>
      </c>
      <c r="J29" s="189">
        <f>[3]МАК!$W$129</f>
        <v>404</v>
      </c>
      <c r="K29" s="191">
        <f t="shared" ref="K29:K42" si="38">ROUND(J29/I29*100,1)</f>
        <v>45.2</v>
      </c>
      <c r="L29" s="189">
        <f t="shared" si="34"/>
        <v>26818</v>
      </c>
      <c r="M29" s="189">
        <f>[3]МАК!$S$129</f>
        <v>22738.39</v>
      </c>
      <c r="N29" s="191">
        <f t="shared" si="14"/>
        <v>84.8</v>
      </c>
      <c r="O29" s="189">
        <f t="shared" si="35"/>
        <v>10210.75</v>
      </c>
      <c r="P29" s="189">
        <f>[3]МАК!$AA$129</f>
        <v>8391</v>
      </c>
      <c r="Q29" s="191">
        <f t="shared" si="2"/>
        <v>82.2</v>
      </c>
      <c r="R29" s="189">
        <f t="shared" si="36"/>
        <v>2563</v>
      </c>
      <c r="S29" s="189">
        <f>[3]МАК!$G$129</f>
        <v>2152</v>
      </c>
      <c r="T29" s="191">
        <f t="shared" si="15"/>
        <v>84</v>
      </c>
      <c r="U29" s="189">
        <f t="shared" si="37"/>
        <v>0</v>
      </c>
      <c r="V29" s="189"/>
      <c r="W29" s="191"/>
      <c r="X29" s="222">
        <v>9800</v>
      </c>
      <c r="Y29" s="299">
        <v>6109</v>
      </c>
      <c r="Z29" s="308">
        <v>36.22</v>
      </c>
      <c r="AA29" s="309">
        <v>12900</v>
      </c>
      <c r="AB29" s="299">
        <v>5673</v>
      </c>
      <c r="AC29" s="331">
        <v>30.18</v>
      </c>
      <c r="AD29" s="310">
        <v>1000</v>
      </c>
      <c r="AE29" s="299">
        <v>974</v>
      </c>
      <c r="AF29" s="331">
        <v>34.61</v>
      </c>
      <c r="AG29" s="336">
        <v>39625</v>
      </c>
      <c r="AH29" s="299">
        <v>29256</v>
      </c>
      <c r="AI29" s="299">
        <v>34.61</v>
      </c>
      <c r="AJ29" s="313">
        <v>29062</v>
      </c>
      <c r="AK29" s="299">
        <v>11139</v>
      </c>
      <c r="AL29" s="331">
        <v>34.61</v>
      </c>
      <c r="AM29" s="314">
        <v>4712</v>
      </c>
      <c r="AN29" s="339">
        <v>2796</v>
      </c>
      <c r="AO29" s="340">
        <f>44.2+1.23</f>
        <v>45.43</v>
      </c>
      <c r="AP29" s="324"/>
      <c r="AQ29" s="299">
        <f t="shared" si="26"/>
        <v>0</v>
      </c>
      <c r="AR29" s="223">
        <v>34.61</v>
      </c>
      <c r="AS29">
        <f t="shared" si="27"/>
        <v>2748.666666666667</v>
      </c>
      <c r="AT29">
        <f t="shared" si="28"/>
        <v>78.292505457191353</v>
      </c>
    </row>
    <row r="30" spans="1:46" ht="15" customHeight="1" x14ac:dyDescent="0.2">
      <c r="A30" s="66">
        <v>22</v>
      </c>
      <c r="B30" s="67" t="s">
        <v>205</v>
      </c>
      <c r="C30" s="189">
        <f t="shared" si="31"/>
        <v>22589.416666666668</v>
      </c>
      <c r="D30" s="189">
        <f>[3]МАНТ!$C$129</f>
        <v>20942</v>
      </c>
      <c r="E30" s="190">
        <f t="shared" si="18"/>
        <v>92.7</v>
      </c>
      <c r="F30" s="189">
        <f t="shared" si="32"/>
        <v>7275.583333333333</v>
      </c>
      <c r="G30" s="189">
        <f>[3]МАНТ!$O$129</f>
        <v>5819</v>
      </c>
      <c r="H30" s="191">
        <f t="shared" si="20"/>
        <v>80</v>
      </c>
      <c r="I30" s="189">
        <f t="shared" si="33"/>
        <v>1725.1666666666667</v>
      </c>
      <c r="J30" s="189">
        <f>[3]МАНТ!$W$129</f>
        <v>975</v>
      </c>
      <c r="K30" s="191">
        <f t="shared" si="38"/>
        <v>56.5</v>
      </c>
      <c r="L30" s="189">
        <f t="shared" si="34"/>
        <v>59868.416666666664</v>
      </c>
      <c r="M30" s="189">
        <f>[3]МАНТ!$S$129</f>
        <v>55802.94</v>
      </c>
      <c r="N30" s="191">
        <f t="shared" si="14"/>
        <v>93.2</v>
      </c>
      <c r="O30" s="189">
        <f t="shared" si="35"/>
        <v>12540</v>
      </c>
      <c r="P30" s="189">
        <f>[3]МАНТ!$AA$129</f>
        <v>9146</v>
      </c>
      <c r="Q30" s="191">
        <f t="shared" si="2"/>
        <v>72.900000000000006</v>
      </c>
      <c r="R30" s="189">
        <f t="shared" si="36"/>
        <v>4148.8333333333339</v>
      </c>
      <c r="S30" s="189">
        <f>[3]МАНТ!$G$129</f>
        <v>3583</v>
      </c>
      <c r="T30" s="191">
        <f t="shared" si="15"/>
        <v>86.4</v>
      </c>
      <c r="U30" s="189">
        <f t="shared" si="37"/>
        <v>0</v>
      </c>
      <c r="V30" s="189"/>
      <c r="W30" s="191"/>
      <c r="X30" s="222">
        <v>44188</v>
      </c>
      <c r="Y30" s="299">
        <v>24643</v>
      </c>
      <c r="Z30" s="308">
        <v>49.19</v>
      </c>
      <c r="AA30" s="309">
        <v>9250</v>
      </c>
      <c r="AB30" s="299">
        <v>7937</v>
      </c>
      <c r="AC30" s="331">
        <v>59.61</v>
      </c>
      <c r="AD30" s="310">
        <v>2000</v>
      </c>
      <c r="AE30" s="299">
        <v>1882</v>
      </c>
      <c r="AF30" s="331">
        <v>52.36</v>
      </c>
      <c r="AG30" s="336">
        <v>67616</v>
      </c>
      <c r="AH30" s="299">
        <v>65311</v>
      </c>
      <c r="AI30" s="299">
        <v>52.35</v>
      </c>
      <c r="AJ30" s="313">
        <v>28147</v>
      </c>
      <c r="AK30" s="299">
        <v>13680</v>
      </c>
      <c r="AL30" s="331">
        <f>52.36-0.01</f>
        <v>52.35</v>
      </c>
      <c r="AM30" s="314">
        <v>7079</v>
      </c>
      <c r="AN30" s="339">
        <v>4526</v>
      </c>
      <c r="AO30" s="340">
        <f>51.65+1.88</f>
        <v>53.53</v>
      </c>
      <c r="AP30" s="324"/>
      <c r="AQ30" s="299">
        <f t="shared" si="26"/>
        <v>0</v>
      </c>
      <c r="AR30" s="223">
        <v>52.36</v>
      </c>
      <c r="AS30">
        <f t="shared" si="27"/>
        <v>4129.4166666666661</v>
      </c>
      <c r="AT30">
        <f t="shared" si="28"/>
        <v>86.767703267208859</v>
      </c>
    </row>
    <row r="31" spans="1:46" ht="15" customHeight="1" x14ac:dyDescent="0.2">
      <c r="A31" s="66">
        <v>23</v>
      </c>
      <c r="B31" s="67" t="s">
        <v>206</v>
      </c>
      <c r="C31" s="189">
        <f t="shared" si="31"/>
        <v>0</v>
      </c>
      <c r="D31" s="189">
        <f>[2]спас!$C$129</f>
        <v>0</v>
      </c>
      <c r="E31" s="190"/>
      <c r="F31" s="189">
        <f t="shared" si="32"/>
        <v>2691.333333333333</v>
      </c>
      <c r="G31" s="189">
        <f>[2]спас!$O$129</f>
        <v>2167</v>
      </c>
      <c r="H31" s="191">
        <f t="shared" si="20"/>
        <v>80.5</v>
      </c>
      <c r="I31" s="189">
        <f t="shared" si="33"/>
        <v>1318.1666666666665</v>
      </c>
      <c r="J31" s="189">
        <f>[2]спас!$W$129</f>
        <v>274</v>
      </c>
      <c r="K31" s="191">
        <f t="shared" si="38"/>
        <v>20.8</v>
      </c>
      <c r="L31" s="189">
        <f t="shared" si="34"/>
        <v>13722.5</v>
      </c>
      <c r="M31" s="189">
        <f>[2]спас!$S$129</f>
        <v>12393.699999999999</v>
      </c>
      <c r="N31" s="191">
        <f t="shared" si="14"/>
        <v>90.3</v>
      </c>
      <c r="O31" s="189">
        <f t="shared" si="35"/>
        <v>2772.916666666667</v>
      </c>
      <c r="P31" s="189">
        <f>[2]спас!$AA$129</f>
        <v>1640</v>
      </c>
      <c r="Q31" s="191">
        <f t="shared" si="2"/>
        <v>59.1</v>
      </c>
      <c r="R31" s="189">
        <f t="shared" si="36"/>
        <v>0</v>
      </c>
      <c r="S31" s="189">
        <f>[2]спас!$G$129</f>
        <v>0</v>
      </c>
      <c r="T31" s="191"/>
      <c r="U31" s="189">
        <f t="shared" si="37"/>
        <v>0</v>
      </c>
      <c r="V31" s="189"/>
      <c r="W31" s="191"/>
      <c r="X31" s="222"/>
      <c r="Y31" s="299">
        <f>VALUE(X31*Z31/100)</f>
        <v>0</v>
      </c>
      <c r="Z31" s="308"/>
      <c r="AA31" s="309">
        <v>3250</v>
      </c>
      <c r="AB31" s="299">
        <v>2936</v>
      </c>
      <c r="AC31" s="331">
        <f>70.77+0.01</f>
        <v>70.78</v>
      </c>
      <c r="AD31" s="310">
        <v>1318</v>
      </c>
      <c r="AE31" s="299">
        <v>1438</v>
      </c>
      <c r="AF31" s="331">
        <v>67.599999999999994</v>
      </c>
      <c r="AG31" s="336">
        <v>10004</v>
      </c>
      <c r="AH31" s="299">
        <v>14970</v>
      </c>
      <c r="AI31" s="299">
        <v>67.599999999999994</v>
      </c>
      <c r="AJ31" s="313">
        <v>5549</v>
      </c>
      <c r="AK31" s="299">
        <v>3025</v>
      </c>
      <c r="AL31" s="331">
        <f>67.6+0.02</f>
        <v>67.61999999999999</v>
      </c>
      <c r="AM31" s="314"/>
      <c r="AN31" s="339">
        <f t="shared" si="5"/>
        <v>0</v>
      </c>
      <c r="AO31" s="340">
        <v>0</v>
      </c>
      <c r="AP31" s="324"/>
      <c r="AQ31" s="299">
        <f t="shared" si="26"/>
        <v>0</v>
      </c>
      <c r="AR31" s="223">
        <v>67.599999999999994</v>
      </c>
      <c r="AS31">
        <f t="shared" si="27"/>
        <v>0</v>
      </c>
      <c r="AT31" t="e">
        <f t="shared" si="28"/>
        <v>#DIV/0!</v>
      </c>
    </row>
    <row r="32" spans="1:46" ht="15" customHeight="1" x14ac:dyDescent="0.2">
      <c r="A32" s="66">
        <v>24</v>
      </c>
      <c r="B32" s="67" t="s">
        <v>234</v>
      </c>
      <c r="C32" s="189">
        <f t="shared" si="31"/>
        <v>13.75</v>
      </c>
      <c r="D32" s="189">
        <f>[4]межа!$C$129</f>
        <v>6</v>
      </c>
      <c r="E32" s="190"/>
      <c r="F32" s="189">
        <f t="shared" si="32"/>
        <v>0</v>
      </c>
      <c r="G32" s="189">
        <f>[4]межа!$O$129</f>
        <v>0</v>
      </c>
      <c r="H32" s="191"/>
      <c r="I32" s="189">
        <f t="shared" si="33"/>
        <v>14.666666666666666</v>
      </c>
      <c r="J32" s="189">
        <f>[4]межа!$W$129</f>
        <v>3</v>
      </c>
      <c r="K32" s="191">
        <f t="shared" si="38"/>
        <v>20.5</v>
      </c>
      <c r="L32" s="189">
        <f t="shared" si="34"/>
        <v>176.91666666666666</v>
      </c>
      <c r="M32" s="189">
        <f>[4]межа!$S$129</f>
        <v>158.72000000000003</v>
      </c>
      <c r="N32" s="191">
        <f t="shared" si="14"/>
        <v>89.7</v>
      </c>
      <c r="O32" s="189">
        <f t="shared" si="35"/>
        <v>45.833333333333336</v>
      </c>
      <c r="P32" s="189">
        <f>[4]межа!$AA129</f>
        <v>28</v>
      </c>
      <c r="Q32" s="191">
        <f t="shared" si="2"/>
        <v>61.1</v>
      </c>
      <c r="R32" s="189">
        <f t="shared" si="36"/>
        <v>29.333333333333332</v>
      </c>
      <c r="S32" s="189">
        <f>[4]межа!$G129</f>
        <v>20</v>
      </c>
      <c r="T32" s="191">
        <f t="shared" si="15"/>
        <v>68.2</v>
      </c>
      <c r="U32" s="189">
        <f t="shared" si="37"/>
        <v>0</v>
      </c>
      <c r="V32" s="189"/>
      <c r="W32" s="191"/>
      <c r="X32" s="227">
        <v>2400</v>
      </c>
      <c r="Y32" s="299">
        <v>15</v>
      </c>
      <c r="Z32" s="308"/>
      <c r="AA32" s="309">
        <v>4500</v>
      </c>
      <c r="AB32" s="299">
        <v>0</v>
      </c>
      <c r="AC32" s="331">
        <f>0.68-0.01</f>
        <v>0.67</v>
      </c>
      <c r="AD32" s="310">
        <v>1400</v>
      </c>
      <c r="AE32" s="299">
        <v>16</v>
      </c>
      <c r="AF32" s="331">
        <v>0.72</v>
      </c>
      <c r="AG32" s="336">
        <v>13831</v>
      </c>
      <c r="AH32" s="299">
        <v>193</v>
      </c>
      <c r="AI32" s="299">
        <f>0.72-0.01</f>
        <v>0.71</v>
      </c>
      <c r="AJ32" s="313">
        <v>13215</v>
      </c>
      <c r="AK32" s="299">
        <v>50</v>
      </c>
      <c r="AL32" s="331">
        <v>0.72</v>
      </c>
      <c r="AM32" s="314">
        <v>1332</v>
      </c>
      <c r="AN32" s="339">
        <v>32</v>
      </c>
      <c r="AO32" s="340">
        <f>1.54+13.3</f>
        <v>14.84</v>
      </c>
      <c r="AP32" s="324"/>
      <c r="AQ32" s="299">
        <f t="shared" si="26"/>
        <v>0</v>
      </c>
      <c r="AR32" s="223">
        <v>0.72</v>
      </c>
      <c r="AS32">
        <f t="shared" si="27"/>
        <v>777</v>
      </c>
      <c r="AT32">
        <f t="shared" si="28"/>
        <v>2.574002574002574</v>
      </c>
    </row>
    <row r="33" spans="1:46" ht="15" customHeight="1" x14ac:dyDescent="0.2">
      <c r="A33" s="66">
        <v>25</v>
      </c>
      <c r="B33" s="67" t="s">
        <v>235</v>
      </c>
      <c r="C33" s="189">
        <f t="shared" si="31"/>
        <v>3632.75</v>
      </c>
      <c r="D33" s="189">
        <f>[2]нея!$C$129</f>
        <v>3154</v>
      </c>
      <c r="E33" s="190">
        <f t="shared" si="18"/>
        <v>86.8</v>
      </c>
      <c r="F33" s="189">
        <f t="shared" si="32"/>
        <v>1332.8333333333335</v>
      </c>
      <c r="G33" s="189">
        <f>[2]нея!$O$129</f>
        <v>1085</v>
      </c>
      <c r="H33" s="191">
        <f t="shared" si="20"/>
        <v>81.400000000000006</v>
      </c>
      <c r="I33" s="189">
        <f t="shared" si="33"/>
        <v>232.83333333333334</v>
      </c>
      <c r="J33" s="189">
        <f>[2]нея!$W$129</f>
        <v>55</v>
      </c>
      <c r="K33" s="191">
        <f t="shared" si="38"/>
        <v>23.6</v>
      </c>
      <c r="L33" s="189">
        <f t="shared" si="34"/>
        <v>12246.666666666666</v>
      </c>
      <c r="M33" s="189">
        <f>[2]нея!$S$129</f>
        <v>11694.03</v>
      </c>
      <c r="N33" s="191">
        <f t="shared" si="14"/>
        <v>95.5</v>
      </c>
      <c r="O33" s="189">
        <f t="shared" si="35"/>
        <v>5534.8333333333339</v>
      </c>
      <c r="P33" s="189">
        <f>[2]нея!$AA$129</f>
        <v>4289</v>
      </c>
      <c r="Q33" s="191">
        <f t="shared" si="2"/>
        <v>77.5</v>
      </c>
      <c r="R33" s="189">
        <f t="shared" si="36"/>
        <v>597.66666666666674</v>
      </c>
      <c r="S33" s="189">
        <f>[2]нея!$G$129</f>
        <v>508</v>
      </c>
      <c r="T33" s="191">
        <f t="shared" si="15"/>
        <v>85</v>
      </c>
      <c r="U33" s="189">
        <f t="shared" si="37"/>
        <v>0</v>
      </c>
      <c r="V33" s="189"/>
      <c r="W33" s="191"/>
      <c r="X33" s="227">
        <v>15626</v>
      </c>
      <c r="Y33" s="299">
        <v>3963</v>
      </c>
      <c r="Z33" s="308">
        <v>26.84</v>
      </c>
      <c r="AA33" s="309">
        <v>9500</v>
      </c>
      <c r="AB33" s="299">
        <v>1454</v>
      </c>
      <c r="AC33" s="331">
        <v>19.940000000000001</v>
      </c>
      <c r="AD33" s="310">
        <v>1000</v>
      </c>
      <c r="AE33" s="299">
        <v>254</v>
      </c>
      <c r="AF33" s="331">
        <v>25.44</v>
      </c>
      <c r="AG33" s="336">
        <v>59648</v>
      </c>
      <c r="AH33" s="299">
        <v>13360</v>
      </c>
      <c r="AI33" s="299">
        <v>25.43</v>
      </c>
      <c r="AJ33" s="313">
        <v>23767</v>
      </c>
      <c r="AK33" s="299">
        <v>6038</v>
      </c>
      <c r="AL33" s="331">
        <f>25.44-0.01</f>
        <v>25.43</v>
      </c>
      <c r="AM33" s="314">
        <v>4229</v>
      </c>
      <c r="AN33" s="339">
        <v>652</v>
      </c>
      <c r="AO33" s="340">
        <f>13.21-0.5</f>
        <v>12.71</v>
      </c>
      <c r="AP33" s="324"/>
      <c r="AQ33" s="299">
        <f t="shared" si="26"/>
        <v>0</v>
      </c>
      <c r="AR33" s="223">
        <v>25.44</v>
      </c>
      <c r="AS33">
        <f t="shared" si="27"/>
        <v>2466.916666666667</v>
      </c>
      <c r="AT33">
        <f t="shared" si="28"/>
        <v>20.592507516130119</v>
      </c>
    </row>
    <row r="34" spans="1:46" ht="15" customHeight="1" x14ac:dyDescent="0.25">
      <c r="A34" s="391" t="s">
        <v>273</v>
      </c>
      <c r="B34" s="392"/>
      <c r="C34" s="194">
        <f>SUM(C35:C41)</f>
        <v>69832.583333333343</v>
      </c>
      <c r="D34" s="194">
        <f>SUM(D35:D41)</f>
        <v>61237</v>
      </c>
      <c r="E34" s="187">
        <f t="shared" si="18"/>
        <v>87.7</v>
      </c>
      <c r="F34" s="194">
        <f>SUM(F35:F41)</f>
        <v>35217.416666666664</v>
      </c>
      <c r="G34" s="194">
        <f>SUM(G35:G41)</f>
        <v>26473</v>
      </c>
      <c r="H34" s="193">
        <f t="shared" si="20"/>
        <v>75.2</v>
      </c>
      <c r="I34" s="194">
        <f>SUM(I35:I41)</f>
        <v>13069.833333333334</v>
      </c>
      <c r="J34" s="194">
        <f>SUM(J35:J41)</f>
        <v>4929</v>
      </c>
      <c r="K34" s="193">
        <f t="shared" si="38"/>
        <v>37.700000000000003</v>
      </c>
      <c r="L34" s="194">
        <f>SUM(L35:L41)</f>
        <v>248016.08333333337</v>
      </c>
      <c r="M34" s="194">
        <f>SUM(M35:M41)</f>
        <v>231944.79000000004</v>
      </c>
      <c r="N34" s="193">
        <f t="shared" si="14"/>
        <v>93.5</v>
      </c>
      <c r="O34" s="194">
        <f>SUM(O35:O41)</f>
        <v>46580.416666666672</v>
      </c>
      <c r="P34" s="194">
        <f>SUM(P35:P41)</f>
        <v>35080.99</v>
      </c>
      <c r="Q34" s="193">
        <f t="shared" si="2"/>
        <v>75.3</v>
      </c>
      <c r="R34" s="194">
        <f>SUM(R35:R41)</f>
        <v>14126.75</v>
      </c>
      <c r="S34" s="194">
        <f>SUM(S35:S41)</f>
        <v>11701</v>
      </c>
      <c r="T34" s="193">
        <f t="shared" si="15"/>
        <v>82.8</v>
      </c>
      <c r="U34" s="194">
        <f>SUM(U35:U41)</f>
        <v>52.25</v>
      </c>
      <c r="V34" s="194">
        <f>SUM(V35:V41)</f>
        <v>57</v>
      </c>
      <c r="W34" s="193">
        <f>ROUND(V34/U34*100,1)</f>
        <v>109.1</v>
      </c>
      <c r="X34" s="254">
        <f>SUM(X35:X41)</f>
        <v>138803</v>
      </c>
      <c r="Y34" s="306">
        <f t="shared" ref="Y34:AR34" si="39">SUM(Y35:Y41)</f>
        <v>76181</v>
      </c>
      <c r="Z34" s="306">
        <f t="shared" si="39"/>
        <v>355.46000000000004</v>
      </c>
      <c r="AA34" s="306">
        <f t="shared" si="39"/>
        <v>54700</v>
      </c>
      <c r="AB34" s="306">
        <f t="shared" si="39"/>
        <v>38419</v>
      </c>
      <c r="AC34" s="306">
        <f t="shared" si="39"/>
        <v>400.43</v>
      </c>
      <c r="AD34" s="306">
        <f t="shared" si="39"/>
        <v>24366</v>
      </c>
      <c r="AE34" s="306">
        <f t="shared" si="39"/>
        <v>14258</v>
      </c>
      <c r="AF34" s="306">
        <f t="shared" si="39"/>
        <v>385.71000000000004</v>
      </c>
      <c r="AG34" s="306">
        <f t="shared" si="39"/>
        <v>294575</v>
      </c>
      <c r="AH34" s="306">
        <f t="shared" si="39"/>
        <v>270563</v>
      </c>
      <c r="AI34" s="306">
        <f t="shared" si="39"/>
        <v>385.69999999999993</v>
      </c>
      <c r="AJ34" s="306">
        <f t="shared" si="39"/>
        <v>124069</v>
      </c>
      <c r="AK34" s="306">
        <f t="shared" si="39"/>
        <v>50815</v>
      </c>
      <c r="AL34" s="306">
        <f t="shared" si="39"/>
        <v>385.71000000000004</v>
      </c>
      <c r="AM34" s="306">
        <f t="shared" si="39"/>
        <v>24300</v>
      </c>
      <c r="AN34" s="341">
        <f t="shared" si="39"/>
        <v>15411</v>
      </c>
      <c r="AO34" s="306">
        <f>SUM(AO35:AO41)</f>
        <v>402.35</v>
      </c>
      <c r="AP34" s="306">
        <f t="shared" si="39"/>
        <v>331</v>
      </c>
      <c r="AQ34" s="306">
        <f t="shared" si="39"/>
        <v>57</v>
      </c>
      <c r="AR34" s="254">
        <f t="shared" si="39"/>
        <v>385.71000000000004</v>
      </c>
      <c r="AS34">
        <f t="shared" si="27"/>
        <v>14175</v>
      </c>
      <c r="AT34">
        <f t="shared" si="28"/>
        <v>82.546737213403873</v>
      </c>
    </row>
    <row r="35" spans="1:46" ht="15" customHeight="1" x14ac:dyDescent="0.2">
      <c r="A35" s="66">
        <v>26</v>
      </c>
      <c r="B35" s="67" t="s">
        <v>207</v>
      </c>
      <c r="C35" s="189">
        <f t="shared" ref="C35:C41" si="40">Y35/12*11</f>
        <v>54090.666666666664</v>
      </c>
      <c r="D35" s="189">
        <f>[3]ШАР!$C$129</f>
        <v>49408</v>
      </c>
      <c r="E35" s="190">
        <f t="shared" si="18"/>
        <v>91.3</v>
      </c>
      <c r="F35" s="189">
        <f t="shared" ref="F35:F41" si="41">AB35/12*11</f>
        <v>7028.083333333333</v>
      </c>
      <c r="G35" s="189">
        <f>[3]ШАР!$O$129</f>
        <v>5916</v>
      </c>
      <c r="H35" s="191">
        <f t="shared" si="20"/>
        <v>84.2</v>
      </c>
      <c r="I35" s="189">
        <f t="shared" ref="I35:I41" si="42">AE35/12*11</f>
        <v>3822.5</v>
      </c>
      <c r="J35" s="189">
        <f>[3]ШАР!$W$129</f>
        <v>875</v>
      </c>
      <c r="K35" s="191">
        <f t="shared" si="38"/>
        <v>22.9</v>
      </c>
      <c r="L35" s="189">
        <f t="shared" ref="L35:L73" si="43">AH35/12*11</f>
        <v>140300.41666666669</v>
      </c>
      <c r="M35" s="189">
        <f>[3]ШАР!$S$129</f>
        <v>134879.88</v>
      </c>
      <c r="N35" s="191">
        <f t="shared" si="14"/>
        <v>96.1</v>
      </c>
      <c r="O35" s="189">
        <f t="shared" ref="O35:O41" si="44">AK35/12*11</f>
        <v>19393.916666666664</v>
      </c>
      <c r="P35" s="189">
        <f>[3]ШАР!$AA$129</f>
        <v>15190.99</v>
      </c>
      <c r="Q35" s="191">
        <f t="shared" si="2"/>
        <v>78.3</v>
      </c>
      <c r="R35" s="189">
        <f t="shared" ref="R35:R41" si="45">AN35/12*11</f>
        <v>7411.25</v>
      </c>
      <c r="S35" s="189">
        <f>[3]ШАР!$G$129</f>
        <v>6375</v>
      </c>
      <c r="T35" s="191">
        <f t="shared" si="15"/>
        <v>86</v>
      </c>
      <c r="U35" s="189">
        <f t="shared" ref="U35:U41" si="46">AQ35/12*11</f>
        <v>52.25</v>
      </c>
      <c r="V35" s="189">
        <f>[3]ШАР!$K$129</f>
        <v>57</v>
      </c>
      <c r="W35" s="191">
        <f>ROUND(V35/U35*100,1)</f>
        <v>109.1</v>
      </c>
      <c r="X35" s="222">
        <v>109363</v>
      </c>
      <c r="Y35" s="299">
        <v>59008</v>
      </c>
      <c r="Z35" s="308">
        <v>46.74</v>
      </c>
      <c r="AA35" s="309">
        <v>17000</v>
      </c>
      <c r="AB35" s="299">
        <v>7667</v>
      </c>
      <c r="AC35" s="331">
        <v>45.87</v>
      </c>
      <c r="AD35" s="310">
        <v>10000</v>
      </c>
      <c r="AE35" s="299">
        <v>4170</v>
      </c>
      <c r="AF35" s="331">
        <v>46.44</v>
      </c>
      <c r="AG35" s="336">
        <v>154738</v>
      </c>
      <c r="AH35" s="299">
        <v>153055</v>
      </c>
      <c r="AI35" s="299">
        <f>46.44+0.01</f>
        <v>46.449999999999996</v>
      </c>
      <c r="AJ35" s="313">
        <v>62853</v>
      </c>
      <c r="AK35" s="299">
        <v>21157</v>
      </c>
      <c r="AL35" s="331">
        <f>46.44+0.01</f>
        <v>46.449999999999996</v>
      </c>
      <c r="AM35" s="314">
        <v>13806</v>
      </c>
      <c r="AN35" s="339">
        <v>8085</v>
      </c>
      <c r="AO35" s="340">
        <f>41.12+5.56-0.01</f>
        <v>46.67</v>
      </c>
      <c r="AP35" s="324">
        <v>331</v>
      </c>
      <c r="AQ35" s="299">
        <v>57</v>
      </c>
      <c r="AR35" s="223">
        <v>46.44</v>
      </c>
      <c r="AS35">
        <f t="shared" si="27"/>
        <v>8053.5</v>
      </c>
      <c r="AT35">
        <f t="shared" si="28"/>
        <v>79.158130005587637</v>
      </c>
    </row>
    <row r="36" spans="1:46" ht="15" customHeight="1" x14ac:dyDescent="0.2">
      <c r="A36" s="67">
        <v>27</v>
      </c>
      <c r="B36" s="67" t="s">
        <v>236</v>
      </c>
      <c r="C36" s="189">
        <f t="shared" si="40"/>
        <v>2358.583333333333</v>
      </c>
      <c r="D36" s="189">
        <f>[3]РОЖД!$C$129</f>
        <v>1643</v>
      </c>
      <c r="E36" s="190">
        <f t="shared" si="18"/>
        <v>69.7</v>
      </c>
      <c r="F36" s="189">
        <f t="shared" si="41"/>
        <v>6882.333333333333</v>
      </c>
      <c r="G36" s="189">
        <f>[3]РОЖД!$O$129</f>
        <v>5573</v>
      </c>
      <c r="H36" s="191">
        <f t="shared" ref="H36:H41" si="47">ROUND(G36/F36*100,1)</f>
        <v>81</v>
      </c>
      <c r="I36" s="189">
        <f t="shared" si="42"/>
        <v>2578.583333333333</v>
      </c>
      <c r="J36" s="189">
        <f>[3]РОЖД!$W$129</f>
        <v>1561</v>
      </c>
      <c r="K36" s="191">
        <f t="shared" si="38"/>
        <v>60.5</v>
      </c>
      <c r="L36" s="189">
        <f t="shared" si="43"/>
        <v>22578.416666666668</v>
      </c>
      <c r="M36" s="189">
        <f>[3]РОЖД!$S$129</f>
        <v>20150.41</v>
      </c>
      <c r="N36" s="191">
        <f t="shared" si="14"/>
        <v>89.2</v>
      </c>
      <c r="O36" s="189">
        <f t="shared" si="44"/>
        <v>5620.0833333333339</v>
      </c>
      <c r="P36" s="189">
        <f>[3]РОЖД!$AA$129</f>
        <v>4283</v>
      </c>
      <c r="Q36" s="191">
        <f t="shared" si="2"/>
        <v>76.2</v>
      </c>
      <c r="R36" s="189">
        <f t="shared" si="45"/>
        <v>745.25</v>
      </c>
      <c r="S36" s="189">
        <f>[3]РОЖД!$G$129</f>
        <v>535</v>
      </c>
      <c r="T36" s="191">
        <f t="shared" si="15"/>
        <v>71.8</v>
      </c>
      <c r="U36" s="189">
        <f t="shared" si="46"/>
        <v>0</v>
      </c>
      <c r="V36" s="189"/>
      <c r="W36" s="191"/>
      <c r="X36" s="222">
        <v>3200</v>
      </c>
      <c r="Y36" s="299">
        <v>2573</v>
      </c>
      <c r="Z36" s="308">
        <v>45.96</v>
      </c>
      <c r="AA36" s="309">
        <v>10500</v>
      </c>
      <c r="AB36" s="299">
        <v>7508</v>
      </c>
      <c r="AC36" s="331">
        <v>60.74</v>
      </c>
      <c r="AD36" s="310">
        <v>5444</v>
      </c>
      <c r="AE36" s="299">
        <v>2813</v>
      </c>
      <c r="AF36" s="331">
        <v>60.18</v>
      </c>
      <c r="AG36" s="336">
        <v>23733</v>
      </c>
      <c r="AH36" s="299">
        <v>24631</v>
      </c>
      <c r="AI36" s="299">
        <f>60.18-0.01</f>
        <v>60.17</v>
      </c>
      <c r="AJ36" s="313">
        <v>12598</v>
      </c>
      <c r="AK36" s="299">
        <v>6131</v>
      </c>
      <c r="AL36" s="331">
        <f>60.18-0.01</f>
        <v>60.17</v>
      </c>
      <c r="AM36" s="314">
        <v>1126</v>
      </c>
      <c r="AN36" s="339">
        <v>813</v>
      </c>
      <c r="AO36" s="340">
        <f>44.91+5.3+0.07</f>
        <v>50.279999999999994</v>
      </c>
      <c r="AP36" s="324"/>
      <c r="AQ36" s="299">
        <f t="shared" si="26"/>
        <v>0</v>
      </c>
      <c r="AR36" s="223">
        <v>60.18</v>
      </c>
      <c r="AS36">
        <f t="shared" si="27"/>
        <v>656.83333333333326</v>
      </c>
      <c r="AT36">
        <f t="shared" si="28"/>
        <v>81.451408272012188</v>
      </c>
    </row>
    <row r="37" spans="1:46" ht="15" customHeight="1" x14ac:dyDescent="0.2">
      <c r="A37" s="66">
        <v>28</v>
      </c>
      <c r="B37" s="68" t="s">
        <v>237</v>
      </c>
      <c r="C37" s="189">
        <f t="shared" si="40"/>
        <v>1585.8333333333333</v>
      </c>
      <c r="D37" s="189">
        <f>[3]ПОНАЗ!$C$129</f>
        <v>1098</v>
      </c>
      <c r="E37" s="190">
        <f t="shared" si="18"/>
        <v>69.2</v>
      </c>
      <c r="F37" s="189">
        <f t="shared" si="41"/>
        <v>2845.3333333333335</v>
      </c>
      <c r="G37" s="189">
        <f>[3]ПОНАЗ!$O$129</f>
        <v>1781</v>
      </c>
      <c r="H37" s="191">
        <f t="shared" si="47"/>
        <v>62.6</v>
      </c>
      <c r="I37" s="189">
        <f t="shared" si="42"/>
        <v>920.33333333333337</v>
      </c>
      <c r="J37" s="189">
        <f>[3]ПОНАЗ!$W$129</f>
        <v>334</v>
      </c>
      <c r="K37" s="191">
        <f t="shared" si="38"/>
        <v>36.299999999999997</v>
      </c>
      <c r="L37" s="189">
        <f t="shared" si="43"/>
        <v>11911.166666666666</v>
      </c>
      <c r="M37" s="189">
        <f>[3]ПОНАЗ!$S$129</f>
        <v>10845.380000000001</v>
      </c>
      <c r="N37" s="191">
        <f t="shared" si="14"/>
        <v>91.1</v>
      </c>
      <c r="O37" s="189">
        <f t="shared" si="44"/>
        <v>2822.4166666666665</v>
      </c>
      <c r="P37" s="189">
        <f>[3]ПОНАЗ!$AA$129</f>
        <v>2058</v>
      </c>
      <c r="Q37" s="191">
        <f t="shared" si="2"/>
        <v>72.900000000000006</v>
      </c>
      <c r="R37" s="189">
        <f t="shared" si="45"/>
        <v>1111</v>
      </c>
      <c r="S37" s="189">
        <f>[3]ПОНАЗ!$G$129</f>
        <v>943</v>
      </c>
      <c r="T37" s="191">
        <f t="shared" si="15"/>
        <v>84.9</v>
      </c>
      <c r="U37" s="189">
        <f t="shared" si="46"/>
        <v>0</v>
      </c>
      <c r="V37" s="189"/>
      <c r="W37" s="191"/>
      <c r="X37" s="222">
        <v>3420</v>
      </c>
      <c r="Y37" s="299">
        <v>1730</v>
      </c>
      <c r="Z37" s="308">
        <v>28.07</v>
      </c>
      <c r="AA37" s="309">
        <v>5000</v>
      </c>
      <c r="AB37" s="299">
        <v>3104</v>
      </c>
      <c r="AC37" s="331">
        <v>38.700000000000003</v>
      </c>
      <c r="AD37" s="310">
        <v>1000</v>
      </c>
      <c r="AE37" s="299">
        <v>1004</v>
      </c>
      <c r="AF37" s="331">
        <v>35.549999999999997</v>
      </c>
      <c r="AG37" s="336">
        <v>21612</v>
      </c>
      <c r="AH37" s="299">
        <v>12994</v>
      </c>
      <c r="AI37" s="299">
        <f>35.55-0.01</f>
        <v>35.54</v>
      </c>
      <c r="AJ37" s="313">
        <v>12524</v>
      </c>
      <c r="AK37" s="299">
        <v>3079</v>
      </c>
      <c r="AL37" s="331">
        <v>35.549999999999997</v>
      </c>
      <c r="AM37" s="314">
        <v>2529</v>
      </c>
      <c r="AN37" s="339">
        <v>1212</v>
      </c>
      <c r="AO37" s="340">
        <f>37.62+1.16</f>
        <v>38.779999999999994</v>
      </c>
      <c r="AP37" s="324"/>
      <c r="AQ37" s="299">
        <f t="shared" si="26"/>
        <v>0</v>
      </c>
      <c r="AR37" s="223">
        <v>35.549999999999997</v>
      </c>
      <c r="AS37">
        <f t="shared" si="27"/>
        <v>1475.25</v>
      </c>
      <c r="AT37">
        <f t="shared" si="28"/>
        <v>63.921369259447545</v>
      </c>
    </row>
    <row r="38" spans="1:46" ht="15" customHeight="1" x14ac:dyDescent="0.2">
      <c r="A38" s="66">
        <v>29</v>
      </c>
      <c r="B38" s="67" t="s">
        <v>238</v>
      </c>
      <c r="C38" s="189">
        <f t="shared" si="40"/>
        <v>2226.583333333333</v>
      </c>
      <c r="D38" s="189">
        <f>[2]пыщ!$C$129</f>
        <v>1601</v>
      </c>
      <c r="E38" s="190">
        <f t="shared" si="18"/>
        <v>71.900000000000006</v>
      </c>
      <c r="F38" s="189">
        <f t="shared" si="41"/>
        <v>3817.9166666666665</v>
      </c>
      <c r="G38" s="189">
        <f>[2]пыщ!$O$129</f>
        <v>2589</v>
      </c>
      <c r="H38" s="191">
        <f t="shared" si="47"/>
        <v>67.8</v>
      </c>
      <c r="I38" s="189">
        <f t="shared" si="42"/>
        <v>1255.8333333333335</v>
      </c>
      <c r="J38" s="189">
        <f>[2]пыщ!$W$129</f>
        <v>327</v>
      </c>
      <c r="K38" s="191">
        <f t="shared" si="38"/>
        <v>26</v>
      </c>
      <c r="L38" s="189">
        <f t="shared" si="43"/>
        <v>15532</v>
      </c>
      <c r="M38" s="189">
        <f>[2]пыщ!$S$129</f>
        <v>14560.7</v>
      </c>
      <c r="N38" s="191">
        <f t="shared" si="14"/>
        <v>93.7</v>
      </c>
      <c r="O38" s="189">
        <f t="shared" si="44"/>
        <v>4928.9166666666661</v>
      </c>
      <c r="P38" s="189">
        <f>[2]пыщ!$AA$129</f>
        <v>3739</v>
      </c>
      <c r="Q38" s="191">
        <f t="shared" si="2"/>
        <v>75.900000000000006</v>
      </c>
      <c r="R38" s="189">
        <f t="shared" si="45"/>
        <v>1041.3333333333335</v>
      </c>
      <c r="S38" s="189">
        <f>[2]пыщ!$G$129</f>
        <v>807</v>
      </c>
      <c r="T38" s="191">
        <f t="shared" si="15"/>
        <v>77.5</v>
      </c>
      <c r="U38" s="189">
        <f t="shared" si="46"/>
        <v>0</v>
      </c>
      <c r="V38" s="189"/>
      <c r="W38" s="191"/>
      <c r="X38" s="222">
        <v>2880</v>
      </c>
      <c r="Y38" s="299">
        <v>2429</v>
      </c>
      <c r="Z38" s="308">
        <f>54.38-1.48</f>
        <v>52.900000000000006</v>
      </c>
      <c r="AA38" s="309">
        <v>5000</v>
      </c>
      <c r="AB38" s="299">
        <v>4165</v>
      </c>
      <c r="AC38" s="331">
        <v>62.15</v>
      </c>
      <c r="AD38" s="310">
        <v>1000</v>
      </c>
      <c r="AE38" s="299">
        <v>1370</v>
      </c>
      <c r="AF38" s="331">
        <v>64.42</v>
      </c>
      <c r="AG38" s="336">
        <v>17324</v>
      </c>
      <c r="AH38" s="299">
        <v>16944</v>
      </c>
      <c r="AI38" s="299">
        <v>64.42</v>
      </c>
      <c r="AJ38" s="313">
        <v>8741</v>
      </c>
      <c r="AK38" s="299">
        <v>5377</v>
      </c>
      <c r="AL38" s="331">
        <v>64.42</v>
      </c>
      <c r="AM38" s="314">
        <v>910</v>
      </c>
      <c r="AN38" s="339">
        <v>1136</v>
      </c>
      <c r="AO38" s="340">
        <f>87.77-22.38</f>
        <v>65.39</v>
      </c>
      <c r="AP38" s="324"/>
      <c r="AQ38" s="299">
        <f t="shared" si="26"/>
        <v>0</v>
      </c>
      <c r="AR38" s="223">
        <v>64.42</v>
      </c>
      <c r="AS38">
        <f t="shared" si="27"/>
        <v>530.83333333333326</v>
      </c>
      <c r="AT38">
        <f t="shared" si="28"/>
        <v>152.02511773940347</v>
      </c>
    </row>
    <row r="39" spans="1:46" ht="15" customHeight="1" x14ac:dyDescent="0.2">
      <c r="A39" s="66">
        <v>30</v>
      </c>
      <c r="B39" s="67" t="s">
        <v>239</v>
      </c>
      <c r="C39" s="189">
        <f t="shared" si="40"/>
        <v>2805</v>
      </c>
      <c r="D39" s="189">
        <f>[2]пав!$C$129</f>
        <v>2095</v>
      </c>
      <c r="E39" s="190">
        <f t="shared" si="18"/>
        <v>74.7</v>
      </c>
      <c r="F39" s="189">
        <f t="shared" si="41"/>
        <v>5174.5833333333339</v>
      </c>
      <c r="G39" s="189">
        <f>[2]пав!$O$129</f>
        <v>3746</v>
      </c>
      <c r="H39" s="191">
        <f t="shared" si="47"/>
        <v>72.400000000000006</v>
      </c>
      <c r="I39" s="189">
        <f t="shared" si="42"/>
        <v>1727</v>
      </c>
      <c r="J39" s="189">
        <f>[2]пав!$W$129</f>
        <v>648</v>
      </c>
      <c r="K39" s="191">
        <f t="shared" si="38"/>
        <v>37.5</v>
      </c>
      <c r="L39" s="189">
        <f t="shared" si="43"/>
        <v>14037.833333333334</v>
      </c>
      <c r="M39" s="189">
        <f>[2]пав!$S$129</f>
        <v>12321.31</v>
      </c>
      <c r="N39" s="191">
        <f t="shared" si="14"/>
        <v>87.8</v>
      </c>
      <c r="O39" s="189">
        <f t="shared" si="44"/>
        <v>4817.0833333333339</v>
      </c>
      <c r="P39" s="189">
        <f>[2]пав!$AA$129</f>
        <v>3379</v>
      </c>
      <c r="Q39" s="191">
        <f t="shared" si="2"/>
        <v>70.099999999999994</v>
      </c>
      <c r="R39" s="189">
        <f t="shared" si="45"/>
        <v>1597.75</v>
      </c>
      <c r="S39" s="189">
        <f>[2]пав!$G$129</f>
        <v>1263</v>
      </c>
      <c r="T39" s="191">
        <f t="shared" si="15"/>
        <v>79</v>
      </c>
      <c r="U39" s="189">
        <f t="shared" si="46"/>
        <v>0</v>
      </c>
      <c r="V39" s="189"/>
      <c r="W39" s="191"/>
      <c r="X39" s="222">
        <v>2560</v>
      </c>
      <c r="Y39" s="299">
        <v>3060</v>
      </c>
      <c r="Z39" s="308">
        <f>73.57-0.84</f>
        <v>72.72999999999999</v>
      </c>
      <c r="AA39" s="309">
        <v>4500</v>
      </c>
      <c r="AB39" s="299">
        <v>5645</v>
      </c>
      <c r="AC39" s="331">
        <f>85.2-0.01</f>
        <v>85.19</v>
      </c>
      <c r="AD39" s="310">
        <v>921</v>
      </c>
      <c r="AE39" s="299">
        <v>1884</v>
      </c>
      <c r="AF39" s="331">
        <v>78.22</v>
      </c>
      <c r="AG39" s="336">
        <v>10797</v>
      </c>
      <c r="AH39" s="299">
        <v>15314</v>
      </c>
      <c r="AI39" s="299">
        <v>78.22</v>
      </c>
      <c r="AJ39" s="313">
        <v>8421</v>
      </c>
      <c r="AK39" s="299">
        <v>5255</v>
      </c>
      <c r="AL39" s="331">
        <v>78.22</v>
      </c>
      <c r="AM39" s="314">
        <v>1520</v>
      </c>
      <c r="AN39" s="339">
        <v>1743</v>
      </c>
      <c r="AO39" s="340">
        <f>98-2.78</f>
        <v>95.22</v>
      </c>
      <c r="AP39" s="324"/>
      <c r="AQ39" s="299">
        <f t="shared" si="26"/>
        <v>0</v>
      </c>
      <c r="AR39" s="223">
        <v>78.22</v>
      </c>
      <c r="AS39">
        <f t="shared" si="27"/>
        <v>886.66666666666674</v>
      </c>
      <c r="AT39">
        <f t="shared" si="28"/>
        <v>142.44360902255636</v>
      </c>
    </row>
    <row r="40" spans="1:46" ht="15" customHeight="1" x14ac:dyDescent="0.2">
      <c r="A40" s="66">
        <v>31</v>
      </c>
      <c r="B40" s="67" t="s">
        <v>240</v>
      </c>
      <c r="C40" s="189">
        <f t="shared" si="40"/>
        <v>3905</v>
      </c>
      <c r="D40" s="189">
        <f>[4]вохма!$C$129</f>
        <v>3273</v>
      </c>
      <c r="E40" s="190">
        <f t="shared" si="18"/>
        <v>83.8</v>
      </c>
      <c r="F40" s="189">
        <f t="shared" si="41"/>
        <v>3003</v>
      </c>
      <c r="G40" s="189">
        <f>[4]вохма!$O$129</f>
        <v>2389</v>
      </c>
      <c r="H40" s="191">
        <f t="shared" si="47"/>
        <v>79.599999999999994</v>
      </c>
      <c r="I40" s="189">
        <f t="shared" si="42"/>
        <v>620.58333333333326</v>
      </c>
      <c r="J40" s="189">
        <f>[4]вохма!$W$129</f>
        <v>210</v>
      </c>
      <c r="K40" s="191">
        <f t="shared" si="38"/>
        <v>33.799999999999997</v>
      </c>
      <c r="L40" s="189">
        <f t="shared" si="43"/>
        <v>10055.833333333332</v>
      </c>
      <c r="M40" s="189">
        <f>[4]вохма!$S$129</f>
        <v>9232.880000000001</v>
      </c>
      <c r="N40" s="191">
        <f t="shared" si="14"/>
        <v>91.8</v>
      </c>
      <c r="O40" s="189">
        <f t="shared" si="44"/>
        <v>2674.833333333333</v>
      </c>
      <c r="P40" s="189">
        <f>[4]вохма!$AA$129</f>
        <v>2073</v>
      </c>
      <c r="Q40" s="191">
        <f t="shared" si="2"/>
        <v>77.5</v>
      </c>
      <c r="R40" s="189">
        <f t="shared" si="45"/>
        <v>904.75</v>
      </c>
      <c r="S40" s="189">
        <f>[4]вохма!$G$129</f>
        <v>752</v>
      </c>
      <c r="T40" s="191">
        <f t="shared" si="15"/>
        <v>83.1</v>
      </c>
      <c r="U40" s="189">
        <f t="shared" si="46"/>
        <v>0</v>
      </c>
      <c r="V40" s="189"/>
      <c r="W40" s="191"/>
      <c r="X40" s="222">
        <v>14500</v>
      </c>
      <c r="Y40" s="299">
        <v>4260</v>
      </c>
      <c r="Z40" s="308">
        <f>30.86-0.34</f>
        <v>30.52</v>
      </c>
      <c r="AA40" s="309">
        <v>7500</v>
      </c>
      <c r="AB40" s="299">
        <v>3276</v>
      </c>
      <c r="AC40" s="331">
        <v>31.17</v>
      </c>
      <c r="AD40" s="310">
        <v>3444</v>
      </c>
      <c r="AE40" s="299">
        <v>677</v>
      </c>
      <c r="AF40" s="331">
        <v>29.24</v>
      </c>
      <c r="AG40" s="336">
        <v>28853</v>
      </c>
      <c r="AH40" s="299">
        <v>10970</v>
      </c>
      <c r="AI40" s="299">
        <v>29.24</v>
      </c>
      <c r="AJ40" s="313">
        <v>11983</v>
      </c>
      <c r="AK40" s="299">
        <v>2918</v>
      </c>
      <c r="AL40" s="331">
        <v>29.24</v>
      </c>
      <c r="AM40" s="314">
        <v>3009</v>
      </c>
      <c r="AN40" s="339">
        <v>987</v>
      </c>
      <c r="AO40" s="340">
        <f>28.99+0.27</f>
        <v>29.259999999999998</v>
      </c>
      <c r="AP40" s="324"/>
      <c r="AQ40" s="299">
        <f t="shared" si="26"/>
        <v>0</v>
      </c>
      <c r="AR40" s="223">
        <v>29.24</v>
      </c>
      <c r="AS40">
        <f t="shared" si="27"/>
        <v>1755.25</v>
      </c>
      <c r="AT40">
        <f t="shared" si="28"/>
        <v>42.842899871813131</v>
      </c>
    </row>
    <row r="41" spans="1:46" ht="15" customHeight="1" x14ac:dyDescent="0.2">
      <c r="A41" s="66">
        <v>32</v>
      </c>
      <c r="B41" s="67" t="s">
        <v>241</v>
      </c>
      <c r="C41" s="189">
        <f t="shared" si="40"/>
        <v>2860.9166666666665</v>
      </c>
      <c r="D41" s="189">
        <f>[4]богов!$C$129</f>
        <v>2119</v>
      </c>
      <c r="E41" s="190">
        <f t="shared" si="18"/>
        <v>74.099999999999994</v>
      </c>
      <c r="F41" s="189">
        <f t="shared" si="41"/>
        <v>6466.166666666667</v>
      </c>
      <c r="G41" s="189">
        <f>[4]богов!$O$129</f>
        <v>4479</v>
      </c>
      <c r="H41" s="191">
        <f t="shared" si="47"/>
        <v>69.3</v>
      </c>
      <c r="I41" s="189">
        <f t="shared" si="42"/>
        <v>2145</v>
      </c>
      <c r="J41" s="189">
        <f>[4]богов!$W$129</f>
        <v>974</v>
      </c>
      <c r="K41" s="191">
        <f t="shared" si="38"/>
        <v>45.4</v>
      </c>
      <c r="L41" s="189">
        <f t="shared" si="43"/>
        <v>33600.416666666672</v>
      </c>
      <c r="M41" s="189">
        <f>[4]богов!$S$129</f>
        <v>29954.230000000007</v>
      </c>
      <c r="N41" s="191">
        <f t="shared" si="14"/>
        <v>89.1</v>
      </c>
      <c r="O41" s="189">
        <f t="shared" si="44"/>
        <v>6323.166666666667</v>
      </c>
      <c r="P41" s="189">
        <f>[4]богов!$AA$129</f>
        <v>4358</v>
      </c>
      <c r="Q41" s="191">
        <f t="shared" si="2"/>
        <v>68.900000000000006</v>
      </c>
      <c r="R41" s="189">
        <f t="shared" si="45"/>
        <v>1315.4166666666665</v>
      </c>
      <c r="S41" s="189">
        <f>[4]богов!$G$129</f>
        <v>1026</v>
      </c>
      <c r="T41" s="191">
        <f t="shared" si="15"/>
        <v>78</v>
      </c>
      <c r="U41" s="189">
        <f t="shared" si="46"/>
        <v>0</v>
      </c>
      <c r="V41" s="189"/>
      <c r="W41" s="191"/>
      <c r="X41" s="222">
        <v>2880</v>
      </c>
      <c r="Y41" s="299">
        <v>3121</v>
      </c>
      <c r="Z41" s="308">
        <f>80-1.46</f>
        <v>78.540000000000006</v>
      </c>
      <c r="AA41" s="309">
        <v>5200</v>
      </c>
      <c r="AB41" s="299">
        <v>7054</v>
      </c>
      <c r="AC41" s="331">
        <f>76.62-0.01</f>
        <v>76.61</v>
      </c>
      <c r="AD41" s="310">
        <v>2557</v>
      </c>
      <c r="AE41" s="299">
        <v>2340</v>
      </c>
      <c r="AF41" s="331">
        <v>71.66</v>
      </c>
      <c r="AG41" s="336">
        <v>37518</v>
      </c>
      <c r="AH41" s="299">
        <v>36655</v>
      </c>
      <c r="AI41" s="299">
        <v>71.66</v>
      </c>
      <c r="AJ41" s="313">
        <v>6949</v>
      </c>
      <c r="AK41" s="299">
        <v>6898</v>
      </c>
      <c r="AL41" s="331">
        <v>71.66</v>
      </c>
      <c r="AM41" s="314">
        <v>1400</v>
      </c>
      <c r="AN41" s="339">
        <v>1435</v>
      </c>
      <c r="AO41" s="340">
        <f>73.47+3.28</f>
        <v>76.75</v>
      </c>
      <c r="AP41" s="324"/>
      <c r="AQ41" s="299">
        <f t="shared" si="26"/>
        <v>0</v>
      </c>
      <c r="AR41" s="223">
        <v>71.66</v>
      </c>
      <c r="AS41">
        <f t="shared" si="27"/>
        <v>816.66666666666674</v>
      </c>
      <c r="AT41">
        <f t="shared" si="28"/>
        <v>125.63265306122449</v>
      </c>
    </row>
    <row r="42" spans="1:46" ht="15" customHeight="1" x14ac:dyDescent="0.25">
      <c r="A42" s="391" t="s">
        <v>269</v>
      </c>
      <c r="B42" s="392"/>
      <c r="C42" s="194">
        <f>SUM(C43:C48)</f>
        <v>74549.75</v>
      </c>
      <c r="D42" s="194">
        <f>SUM(D43:D48)</f>
        <v>70102</v>
      </c>
      <c r="E42" s="187">
        <f t="shared" si="18"/>
        <v>94</v>
      </c>
      <c r="F42" s="194">
        <f>SUM(F43:F48)</f>
        <v>34025.75</v>
      </c>
      <c r="G42" s="194">
        <f>SUM(G43:G48)</f>
        <v>27472</v>
      </c>
      <c r="H42" s="276"/>
      <c r="I42" s="194">
        <f>SUM(I43:I48)</f>
        <v>13945.25</v>
      </c>
      <c r="J42" s="194">
        <f>SUM(J43:J48)</f>
        <v>11427</v>
      </c>
      <c r="K42" s="193">
        <f t="shared" si="38"/>
        <v>81.900000000000006</v>
      </c>
      <c r="L42" s="194">
        <f>SUM(L43:L48)</f>
        <v>224806.08333333334</v>
      </c>
      <c r="M42" s="194">
        <f>SUM(M43:M48)</f>
        <v>214926.36000000002</v>
      </c>
      <c r="N42" s="193">
        <f t="shared" si="14"/>
        <v>95.6</v>
      </c>
      <c r="O42" s="194">
        <f>SUM(O43:O48)</f>
        <v>60827.25</v>
      </c>
      <c r="P42" s="194">
        <f>SUM(P43:P48)</f>
        <v>50266</v>
      </c>
      <c r="Q42" s="193">
        <f t="shared" si="2"/>
        <v>82.6</v>
      </c>
      <c r="R42" s="194">
        <f>SUM(R43:R48)</f>
        <v>16111.333333333334</v>
      </c>
      <c r="S42" s="194">
        <f>SUM(S43:S48)</f>
        <v>14840</v>
      </c>
      <c r="T42" s="193">
        <f t="shared" si="15"/>
        <v>92.1</v>
      </c>
      <c r="U42" s="194">
        <f>SUM(U43:U48)</f>
        <v>1088.0833333333335</v>
      </c>
      <c r="V42" s="194">
        <f>SUM(V43:V48)</f>
        <v>861</v>
      </c>
      <c r="W42" s="193">
        <f>ROUND(V42/U42*100,1)</f>
        <v>79.099999999999994</v>
      </c>
      <c r="X42" s="254">
        <f>SUM(X43:X48)</f>
        <v>378032</v>
      </c>
      <c r="Y42" s="306">
        <f t="shared" ref="Y42:AR42" si="48">SUM(Y43:Y48)</f>
        <v>81327</v>
      </c>
      <c r="Z42" s="306">
        <f t="shared" si="48"/>
        <v>65.400000000000006</v>
      </c>
      <c r="AA42" s="306">
        <f t="shared" si="48"/>
        <v>141350</v>
      </c>
      <c r="AB42" s="306">
        <f t="shared" si="48"/>
        <v>37119</v>
      </c>
      <c r="AC42" s="306">
        <f t="shared" si="48"/>
        <v>92.55</v>
      </c>
      <c r="AD42" s="306">
        <f t="shared" si="48"/>
        <v>119480</v>
      </c>
      <c r="AE42" s="306">
        <f t="shared" si="48"/>
        <v>15213</v>
      </c>
      <c r="AF42" s="306">
        <f t="shared" si="48"/>
        <v>99.43</v>
      </c>
      <c r="AG42" s="306">
        <f t="shared" si="48"/>
        <v>840670</v>
      </c>
      <c r="AH42" s="306">
        <f t="shared" si="48"/>
        <v>245243</v>
      </c>
      <c r="AI42" s="306">
        <f t="shared" si="48"/>
        <v>99.43</v>
      </c>
      <c r="AJ42" s="306">
        <f t="shared" si="48"/>
        <v>304128</v>
      </c>
      <c r="AK42" s="306">
        <f t="shared" si="48"/>
        <v>66357</v>
      </c>
      <c r="AL42" s="306">
        <f t="shared" si="48"/>
        <v>99.431000000000012</v>
      </c>
      <c r="AM42" s="306">
        <f t="shared" si="48"/>
        <v>63713</v>
      </c>
      <c r="AN42" s="341">
        <f t="shared" si="48"/>
        <v>17576</v>
      </c>
      <c r="AO42" s="306">
        <f>SUM(AO43:AO48)</f>
        <v>120.34</v>
      </c>
      <c r="AP42" s="306">
        <f t="shared" si="48"/>
        <v>7600</v>
      </c>
      <c r="AQ42" s="306">
        <f t="shared" si="48"/>
        <v>1187</v>
      </c>
      <c r="AR42" s="254">
        <f t="shared" si="48"/>
        <v>99.42</v>
      </c>
      <c r="AS42">
        <f t="shared" si="27"/>
        <v>37165.916666666672</v>
      </c>
      <c r="AT42">
        <f t="shared" si="28"/>
        <v>39.929056864376186</v>
      </c>
    </row>
    <row r="43" spans="1:46" ht="15" customHeight="1" x14ac:dyDescent="0.2">
      <c r="A43" s="66">
        <v>33</v>
      </c>
      <c r="B43" s="67" t="s">
        <v>208</v>
      </c>
      <c r="C43" s="189">
        <f t="shared" ref="C43:C48" si="49">Y43/12*11</f>
        <v>11549.083333333334</v>
      </c>
      <c r="D43" s="189">
        <f>[4]роддом!$C$129</f>
        <v>10931</v>
      </c>
      <c r="E43" s="190">
        <f t="shared" si="18"/>
        <v>94.6</v>
      </c>
      <c r="F43" s="189">
        <f t="shared" ref="F43:F48" si="50">AB43/12*11</f>
        <v>2126.666666666667</v>
      </c>
      <c r="G43" s="189">
        <f>[4]роддом!$O$129</f>
        <v>1397</v>
      </c>
      <c r="H43" s="191">
        <f>ROUND(G43/F43*100,1)</f>
        <v>65.7</v>
      </c>
      <c r="I43" s="189">
        <f t="shared" ref="I43:I48" si="51">AE43/12*11</f>
        <v>0</v>
      </c>
      <c r="J43" s="189">
        <f>[4]роддом!$W$129</f>
        <v>0</v>
      </c>
      <c r="K43" s="191"/>
      <c r="L43" s="189">
        <f t="shared" si="43"/>
        <v>16247.916666666666</v>
      </c>
      <c r="M43" s="189">
        <f>[4]роддом!$S$129</f>
        <v>14690.62</v>
      </c>
      <c r="N43" s="191">
        <f t="shared" si="14"/>
        <v>90.4</v>
      </c>
      <c r="O43" s="189">
        <f t="shared" ref="O43:O48" si="52">AK43/12*11</f>
        <v>0</v>
      </c>
      <c r="P43" s="189">
        <f>[4]роддом!$AA$129</f>
        <v>0</v>
      </c>
      <c r="Q43" s="191"/>
      <c r="R43" s="189">
        <f t="shared" ref="R43:R48" si="53">AN43/12*11</f>
        <v>0</v>
      </c>
      <c r="S43" s="189">
        <f>[4]роддом!$G$129</f>
        <v>0</v>
      </c>
      <c r="T43" s="191"/>
      <c r="U43" s="189">
        <f t="shared" ref="U43:U48" si="54">AQ43/12*11</f>
        <v>0</v>
      </c>
      <c r="V43" s="189"/>
      <c r="W43" s="191"/>
      <c r="X43" s="222">
        <v>43000</v>
      </c>
      <c r="Y43" s="299">
        <v>12599</v>
      </c>
      <c r="Z43" s="308">
        <v>28.37</v>
      </c>
      <c r="AA43" s="309">
        <v>8400</v>
      </c>
      <c r="AB43" s="299">
        <v>2320</v>
      </c>
      <c r="AC43" s="331">
        <v>32.93</v>
      </c>
      <c r="AD43" s="310">
        <v>2500</v>
      </c>
      <c r="AE43" s="299">
        <v>0</v>
      </c>
      <c r="AF43" s="331">
        <v>27.3</v>
      </c>
      <c r="AG43" s="336">
        <v>44638</v>
      </c>
      <c r="AH43" s="299">
        <v>17725</v>
      </c>
      <c r="AI43" s="299">
        <v>27.3</v>
      </c>
      <c r="AJ43" s="313">
        <v>750</v>
      </c>
      <c r="AK43" s="299">
        <v>0</v>
      </c>
      <c r="AL43" s="331">
        <v>27.3</v>
      </c>
      <c r="AM43" s="314"/>
      <c r="AN43" s="339">
        <f t="shared" si="5"/>
        <v>0</v>
      </c>
      <c r="AO43" s="340">
        <v>27.3</v>
      </c>
      <c r="AP43" s="324"/>
      <c r="AQ43" s="299">
        <f t="shared" si="26"/>
        <v>0</v>
      </c>
      <c r="AR43" s="223">
        <v>27.3</v>
      </c>
      <c r="AS43">
        <f t="shared" si="27"/>
        <v>0</v>
      </c>
    </row>
    <row r="44" spans="1:46" ht="15" customHeight="1" x14ac:dyDescent="0.2">
      <c r="A44" s="66">
        <v>34</v>
      </c>
      <c r="B44" s="67" t="s">
        <v>209</v>
      </c>
      <c r="C44" s="189">
        <f t="shared" si="49"/>
        <v>22686.583333333332</v>
      </c>
      <c r="D44" s="189">
        <f>[2]муз1!$C$129</f>
        <v>21454</v>
      </c>
      <c r="E44" s="190">
        <f t="shared" si="18"/>
        <v>94.6</v>
      </c>
      <c r="F44" s="189">
        <f t="shared" si="50"/>
        <v>15996.75</v>
      </c>
      <c r="G44" s="189">
        <f>[2]муз1!$O$129</f>
        <v>12812</v>
      </c>
      <c r="H44" s="191">
        <f>ROUND(G44/F44*100,1)</f>
        <v>80.099999999999994</v>
      </c>
      <c r="I44" s="189">
        <f t="shared" si="51"/>
        <v>7931</v>
      </c>
      <c r="J44" s="189">
        <f>[2]муз1!$W$129</f>
        <v>6719</v>
      </c>
      <c r="K44" s="191">
        <f>ROUND(J44/I44*100,1)</f>
        <v>84.7</v>
      </c>
      <c r="L44" s="189">
        <f t="shared" si="43"/>
        <v>95840.25</v>
      </c>
      <c r="M44" s="189">
        <f>[2]муз1!$S$129</f>
        <v>90754</v>
      </c>
      <c r="N44" s="191">
        <f t="shared" si="14"/>
        <v>94.7</v>
      </c>
      <c r="O44" s="189">
        <f t="shared" si="52"/>
        <v>27675.083333333332</v>
      </c>
      <c r="P44" s="189">
        <f>[2]муз1!$AA$129</f>
        <v>22946</v>
      </c>
      <c r="Q44" s="191">
        <f t="shared" si="2"/>
        <v>82.9</v>
      </c>
      <c r="R44" s="189">
        <f t="shared" si="53"/>
        <v>0</v>
      </c>
      <c r="S44" s="189">
        <f>[2]муз1!$G$129</f>
        <v>0</v>
      </c>
      <c r="T44" s="191"/>
      <c r="U44" s="189">
        <f t="shared" si="54"/>
        <v>1088.0833333333335</v>
      </c>
      <c r="V44" s="189">
        <f>[2]муз1!$K$129</f>
        <v>861</v>
      </c>
      <c r="W44" s="191">
        <f>ROUND(V44/U44*100,1)</f>
        <v>79.099999999999994</v>
      </c>
      <c r="X44" s="227">
        <v>103352</v>
      </c>
      <c r="Y44" s="299">
        <v>24749</v>
      </c>
      <c r="Z44" s="308">
        <v>20.48</v>
      </c>
      <c r="AA44" s="309">
        <v>63000</v>
      </c>
      <c r="AB44" s="299">
        <v>17451</v>
      </c>
      <c r="AC44" s="331">
        <f>19.5-0.01</f>
        <v>19.489999999999998</v>
      </c>
      <c r="AD44" s="310">
        <v>88261</v>
      </c>
      <c r="AE44" s="299">
        <v>8652</v>
      </c>
      <c r="AF44" s="331">
        <f>17.38+0.01</f>
        <v>17.39</v>
      </c>
      <c r="AG44" s="336">
        <v>317918</v>
      </c>
      <c r="AH44" s="299">
        <v>104553</v>
      </c>
      <c r="AI44" s="299">
        <f>17.38+0.01</f>
        <v>17.39</v>
      </c>
      <c r="AJ44" s="313">
        <v>129370</v>
      </c>
      <c r="AK44" s="299">
        <v>30191</v>
      </c>
      <c r="AL44" s="331">
        <v>17.390999999999998</v>
      </c>
      <c r="AM44" s="314"/>
      <c r="AN44" s="339">
        <f t="shared" si="5"/>
        <v>0</v>
      </c>
      <c r="AO44" s="340">
        <v>17.38</v>
      </c>
      <c r="AP44" s="324">
        <f>15200-7600</f>
        <v>7600</v>
      </c>
      <c r="AQ44" s="299">
        <v>1187</v>
      </c>
      <c r="AR44" s="223">
        <v>17.38</v>
      </c>
      <c r="AS44">
        <f t="shared" si="27"/>
        <v>0</v>
      </c>
    </row>
    <row r="45" spans="1:46" ht="15" customHeight="1" x14ac:dyDescent="0.2">
      <c r="A45" s="66">
        <v>35</v>
      </c>
      <c r="B45" s="67" t="s">
        <v>210</v>
      </c>
      <c r="C45" s="189">
        <f t="shared" si="49"/>
        <v>40314.083333333328</v>
      </c>
      <c r="D45" s="189">
        <f>'[4]муз2 '!$C$129</f>
        <v>37717</v>
      </c>
      <c r="E45" s="190">
        <f t="shared" si="18"/>
        <v>93.6</v>
      </c>
      <c r="F45" s="189">
        <f t="shared" si="50"/>
        <v>6332.333333333333</v>
      </c>
      <c r="G45" s="189">
        <f>'[4]муз2 '!$O$129</f>
        <v>5537</v>
      </c>
      <c r="H45" s="191">
        <f>ROUND(G45/F45*100,1)</f>
        <v>87.4</v>
      </c>
      <c r="I45" s="189">
        <f t="shared" si="51"/>
        <v>1372.25</v>
      </c>
      <c r="J45" s="189">
        <f>'[4]муз2 '!$W$129</f>
        <v>1051</v>
      </c>
      <c r="K45" s="191">
        <f>ROUND(J45/I45*100,1)</f>
        <v>76.599999999999994</v>
      </c>
      <c r="L45" s="189">
        <f t="shared" si="43"/>
        <v>40544.166666666672</v>
      </c>
      <c r="M45" s="189">
        <f>'[4]муз2 '!$S$129</f>
        <v>36913.89</v>
      </c>
      <c r="N45" s="191">
        <f t="shared" si="14"/>
        <v>91</v>
      </c>
      <c r="O45" s="189">
        <f t="shared" si="52"/>
        <v>14848.166666666666</v>
      </c>
      <c r="P45" s="189">
        <f>'[4]муз2 '!$AA$129</f>
        <v>12841</v>
      </c>
      <c r="Q45" s="191">
        <f t="shared" si="2"/>
        <v>86.5</v>
      </c>
      <c r="R45" s="189">
        <f t="shared" si="53"/>
        <v>0</v>
      </c>
      <c r="S45" s="189">
        <f>'[4]муз2 '!$G$129</f>
        <v>0</v>
      </c>
      <c r="T45" s="191"/>
      <c r="U45" s="189">
        <f t="shared" si="54"/>
        <v>0</v>
      </c>
      <c r="V45" s="189"/>
      <c r="W45" s="191"/>
      <c r="X45" s="222">
        <v>231680</v>
      </c>
      <c r="Y45" s="299">
        <v>43979</v>
      </c>
      <c r="Z45" s="308">
        <v>16.55</v>
      </c>
      <c r="AA45" s="309">
        <v>52550</v>
      </c>
      <c r="AB45" s="299">
        <v>6908</v>
      </c>
      <c r="AC45" s="331">
        <v>15.5</v>
      </c>
      <c r="AD45" s="310">
        <v>10649</v>
      </c>
      <c r="AE45" s="299">
        <v>1497</v>
      </c>
      <c r="AF45" s="331">
        <v>10.95</v>
      </c>
      <c r="AG45" s="336">
        <v>256109</v>
      </c>
      <c r="AH45" s="299">
        <v>44230</v>
      </c>
      <c r="AI45" s="299">
        <v>10.95</v>
      </c>
      <c r="AJ45" s="313">
        <v>87725</v>
      </c>
      <c r="AK45" s="299">
        <v>16198</v>
      </c>
      <c r="AL45" s="331">
        <v>10.95</v>
      </c>
      <c r="AM45" s="314"/>
      <c r="AN45" s="339">
        <f t="shared" si="5"/>
        <v>0</v>
      </c>
      <c r="AO45" s="340">
        <v>10.95</v>
      </c>
      <c r="AP45" s="324"/>
      <c r="AQ45" s="299">
        <f t="shared" si="26"/>
        <v>0</v>
      </c>
      <c r="AR45" s="223">
        <v>10.95</v>
      </c>
      <c r="AS45">
        <f t="shared" si="27"/>
        <v>0</v>
      </c>
    </row>
    <row r="46" spans="1:46" ht="15" customHeight="1" x14ac:dyDescent="0.2">
      <c r="A46" s="66">
        <v>36</v>
      </c>
      <c r="B46" s="67" t="s">
        <v>212</v>
      </c>
      <c r="C46" s="189">
        <f t="shared" si="49"/>
        <v>0</v>
      </c>
      <c r="D46" s="189">
        <f>[4]полик4!$C$129</f>
        <v>0</v>
      </c>
      <c r="E46" s="190"/>
      <c r="F46" s="189">
        <f t="shared" si="50"/>
        <v>9570</v>
      </c>
      <c r="G46" s="189">
        <f>[4]полик4!$O$129</f>
        <v>7726</v>
      </c>
      <c r="H46" s="191">
        <f>ROUND(G46/F46*100,1)</f>
        <v>80.7</v>
      </c>
      <c r="I46" s="189">
        <f t="shared" si="51"/>
        <v>4642</v>
      </c>
      <c r="J46" s="189">
        <f>[4]полик4!$W$129</f>
        <v>3657</v>
      </c>
      <c r="K46" s="191">
        <f>ROUND(J46/I46*100,1)</f>
        <v>78.8</v>
      </c>
      <c r="L46" s="189">
        <f t="shared" si="43"/>
        <v>44215.416666666672</v>
      </c>
      <c r="M46" s="189">
        <f>[4]полик4!$S$129</f>
        <v>42403</v>
      </c>
      <c r="N46" s="191">
        <f t="shared" si="14"/>
        <v>95.9</v>
      </c>
      <c r="O46" s="189">
        <f t="shared" si="52"/>
        <v>13079</v>
      </c>
      <c r="P46" s="189">
        <f>[4]полик4!$AA$129</f>
        <v>11697</v>
      </c>
      <c r="Q46" s="191">
        <f t="shared" si="2"/>
        <v>89.4</v>
      </c>
      <c r="R46" s="189">
        <f t="shared" si="53"/>
        <v>0</v>
      </c>
      <c r="S46" s="189">
        <f>[4]полик4!$G$129</f>
        <v>0</v>
      </c>
      <c r="T46" s="191"/>
      <c r="U46" s="189">
        <f t="shared" si="54"/>
        <v>0</v>
      </c>
      <c r="V46" s="189"/>
      <c r="W46" s="191"/>
      <c r="X46" s="222"/>
      <c r="Y46" s="299">
        <f>VALUE(X46*Z46/100)</f>
        <v>0</v>
      </c>
      <c r="Z46" s="308"/>
      <c r="AA46" s="309">
        <v>17400</v>
      </c>
      <c r="AB46" s="299">
        <v>10440</v>
      </c>
      <c r="AC46" s="331">
        <v>24.63</v>
      </c>
      <c r="AD46" s="310">
        <v>17570</v>
      </c>
      <c r="AE46" s="299">
        <v>5064</v>
      </c>
      <c r="AF46" s="331">
        <v>27.26</v>
      </c>
      <c r="AG46" s="336">
        <v>96688</v>
      </c>
      <c r="AH46" s="299">
        <v>48235</v>
      </c>
      <c r="AI46" s="299">
        <v>27.26</v>
      </c>
      <c r="AJ46" s="313">
        <v>53447</v>
      </c>
      <c r="AK46" s="299">
        <v>14268</v>
      </c>
      <c r="AL46" s="331">
        <v>27.26</v>
      </c>
      <c r="AM46" s="314"/>
      <c r="AN46" s="339">
        <f t="shared" si="5"/>
        <v>0</v>
      </c>
      <c r="AO46" s="340">
        <v>27.26</v>
      </c>
      <c r="AP46" s="324"/>
      <c r="AQ46" s="299">
        <f t="shared" si="26"/>
        <v>0</v>
      </c>
      <c r="AR46" s="223">
        <v>27.26</v>
      </c>
      <c r="AS46">
        <f t="shared" si="27"/>
        <v>0</v>
      </c>
    </row>
    <row r="47" spans="1:46" ht="15" customHeight="1" x14ac:dyDescent="0.2">
      <c r="A47" s="66">
        <v>37</v>
      </c>
      <c r="B47" s="141" t="s">
        <v>252</v>
      </c>
      <c r="C47" s="189">
        <f t="shared" si="49"/>
        <v>0</v>
      </c>
      <c r="D47" s="189">
        <f>[2]стом1!$C$129</f>
        <v>0</v>
      </c>
      <c r="E47" s="190"/>
      <c r="F47" s="189">
        <f t="shared" si="50"/>
        <v>0</v>
      </c>
      <c r="G47" s="189">
        <f>[2]стом1!$O$129</f>
        <v>0</v>
      </c>
      <c r="H47" s="191"/>
      <c r="I47" s="189">
        <f t="shared" si="51"/>
        <v>0</v>
      </c>
      <c r="J47" s="189">
        <f>[2]стом1!$W$129</f>
        <v>0</v>
      </c>
      <c r="K47" s="191"/>
      <c r="L47" s="189">
        <f t="shared" si="43"/>
        <v>27958.333333333332</v>
      </c>
      <c r="M47" s="189">
        <f>[2]стом1!$S$129</f>
        <v>30164.850000000002</v>
      </c>
      <c r="N47" s="191">
        <f t="shared" si="14"/>
        <v>107.9</v>
      </c>
      <c r="O47" s="189">
        <f t="shared" si="52"/>
        <v>5225</v>
      </c>
      <c r="P47" s="189">
        <f>[2]стом1!$AA$129</f>
        <v>2782</v>
      </c>
      <c r="Q47" s="191"/>
      <c r="R47" s="189">
        <f t="shared" si="53"/>
        <v>0</v>
      </c>
      <c r="S47" s="189">
        <f>[2]стом1!$G$129</f>
        <v>0</v>
      </c>
      <c r="T47" s="191"/>
      <c r="U47" s="189">
        <f t="shared" si="54"/>
        <v>0</v>
      </c>
      <c r="V47" s="189"/>
      <c r="W47" s="191"/>
      <c r="X47" s="222"/>
      <c r="Y47" s="299">
        <f>VALUE(X47*Z47/100)</f>
        <v>0</v>
      </c>
      <c r="Z47" s="308"/>
      <c r="AA47" s="309"/>
      <c r="AB47" s="299">
        <f>VALUE(AA47*AC47/100)</f>
        <v>0</v>
      </c>
      <c r="AC47" s="331"/>
      <c r="AD47" s="310">
        <v>500</v>
      </c>
      <c r="AE47" s="299">
        <v>0</v>
      </c>
      <c r="AF47" s="331">
        <v>16.53</v>
      </c>
      <c r="AG47" s="336">
        <v>125317</v>
      </c>
      <c r="AH47" s="299">
        <v>30500</v>
      </c>
      <c r="AI47" s="299">
        <v>16.53</v>
      </c>
      <c r="AJ47" s="313">
        <v>32836</v>
      </c>
      <c r="AK47" s="299">
        <v>5700</v>
      </c>
      <c r="AL47" s="331">
        <v>16.53</v>
      </c>
      <c r="AM47" s="314"/>
      <c r="AN47" s="339">
        <f t="shared" si="5"/>
        <v>0</v>
      </c>
      <c r="AO47" s="340">
        <v>16.53</v>
      </c>
      <c r="AP47" s="324"/>
      <c r="AQ47" s="299">
        <f t="shared" si="26"/>
        <v>0</v>
      </c>
      <c r="AR47" s="223">
        <v>16.53</v>
      </c>
      <c r="AS47">
        <f t="shared" si="27"/>
        <v>0</v>
      </c>
    </row>
    <row r="48" spans="1:46" ht="15" customHeight="1" x14ac:dyDescent="0.2">
      <c r="A48" s="66">
        <v>38</v>
      </c>
      <c r="B48" s="141" t="s">
        <v>218</v>
      </c>
      <c r="C48" s="189">
        <f t="shared" si="49"/>
        <v>0</v>
      </c>
      <c r="D48" s="189">
        <f>[3]смп!$C$129</f>
        <v>0</v>
      </c>
      <c r="E48" s="190"/>
      <c r="F48" s="189">
        <f t="shared" si="50"/>
        <v>0</v>
      </c>
      <c r="G48" s="189">
        <f>[3]смп!$O$129</f>
        <v>0</v>
      </c>
      <c r="H48" s="191"/>
      <c r="I48" s="189">
        <f t="shared" si="51"/>
        <v>0</v>
      </c>
      <c r="J48" s="189">
        <f>[3]смп!$W$129</f>
        <v>0</v>
      </c>
      <c r="K48" s="191"/>
      <c r="L48" s="189">
        <f t="shared" si="43"/>
        <v>0</v>
      </c>
      <c r="M48" s="189">
        <f>[3]смп!$S$129</f>
        <v>0</v>
      </c>
      <c r="N48" s="191"/>
      <c r="O48" s="189">
        <f t="shared" si="52"/>
        <v>0</v>
      </c>
      <c r="P48" s="189">
        <f>[3]смп!$AA$129</f>
        <v>0</v>
      </c>
      <c r="Q48" s="191"/>
      <c r="R48" s="189">
        <f t="shared" si="53"/>
        <v>16111.333333333334</v>
      </c>
      <c r="S48" s="189">
        <f>[3]смп!$G$129</f>
        <v>14840</v>
      </c>
      <c r="T48" s="246">
        <f>ROUND(S48/R48*100,1)</f>
        <v>92.1</v>
      </c>
      <c r="U48" s="189">
        <f t="shared" si="54"/>
        <v>0</v>
      </c>
      <c r="V48" s="189"/>
      <c r="W48" s="191"/>
      <c r="X48" s="222"/>
      <c r="Y48" s="299">
        <f>VALUE(X48*Z48/100)</f>
        <v>0</v>
      </c>
      <c r="Z48" s="308"/>
      <c r="AA48" s="309"/>
      <c r="AB48" s="299">
        <f>VALUE(AA48*AC48/100)</f>
        <v>0</v>
      </c>
      <c r="AC48" s="331"/>
      <c r="AD48" s="310"/>
      <c r="AE48" s="299">
        <v>0</v>
      </c>
      <c r="AF48" s="331"/>
      <c r="AG48" s="336"/>
      <c r="AH48" s="299">
        <f>AG48*AI48/100</f>
        <v>0</v>
      </c>
      <c r="AI48" s="299"/>
      <c r="AJ48" s="313"/>
      <c r="AK48" s="299">
        <f>VALUE(AJ48*AL48/100)</f>
        <v>0</v>
      </c>
      <c r="AL48" s="331"/>
      <c r="AM48" s="314">
        <v>63713</v>
      </c>
      <c r="AN48" s="339">
        <v>17576</v>
      </c>
      <c r="AO48" s="340">
        <f>21.41-0.48-0.01</f>
        <v>20.919999999999998</v>
      </c>
      <c r="AP48" s="324"/>
      <c r="AQ48" s="299"/>
      <c r="AR48" s="223"/>
      <c r="AS48">
        <f t="shared" si="27"/>
        <v>37165.916666666672</v>
      </c>
      <c r="AT48">
        <f t="shared" si="28"/>
        <v>39.929056864376186</v>
      </c>
    </row>
    <row r="49" spans="1:46" ht="15" customHeight="1" x14ac:dyDescent="0.25">
      <c r="A49" s="66"/>
      <c r="B49" s="277" t="s">
        <v>270</v>
      </c>
      <c r="C49" s="194">
        <f>SUM(C50:C56)</f>
        <v>18418.583333333332</v>
      </c>
      <c r="D49" s="194">
        <f>SUM(D50:D56)</f>
        <v>16667</v>
      </c>
      <c r="E49" s="187">
        <f t="shared" si="18"/>
        <v>90.5</v>
      </c>
      <c r="F49" s="194">
        <f>SUM(F50:F56)</f>
        <v>5219.5000000000009</v>
      </c>
      <c r="G49" s="194">
        <f>SUM(G50:G56)</f>
        <v>4327</v>
      </c>
      <c r="H49" s="193">
        <f>ROUND(G49/F49*100,1)</f>
        <v>82.9</v>
      </c>
      <c r="I49" s="194">
        <f>SUM(I50:I56)</f>
        <v>2600.583333333333</v>
      </c>
      <c r="J49" s="194">
        <f>SUM(J50:J56)</f>
        <v>1379</v>
      </c>
      <c r="K49" s="193">
        <f>ROUND(J49/I49*100,1)</f>
        <v>53</v>
      </c>
      <c r="L49" s="194">
        <f>SUM(L50:L56)</f>
        <v>64266.583333333321</v>
      </c>
      <c r="M49" s="194">
        <f>SUM(M50:M56)</f>
        <v>59957.520000000011</v>
      </c>
      <c r="N49" s="193">
        <f t="shared" si="14"/>
        <v>93.3</v>
      </c>
      <c r="O49" s="194">
        <f>SUM(O50:O56)</f>
        <v>27935.416666666664</v>
      </c>
      <c r="P49" s="194">
        <f>SUM(P50:P56)</f>
        <v>22395</v>
      </c>
      <c r="Q49" s="194">
        <f>SUM(Q50:Q56)</f>
        <v>480.6</v>
      </c>
      <c r="R49" s="194">
        <f>SUM(R50:R56)</f>
        <v>2443.8333333333335</v>
      </c>
      <c r="S49" s="194">
        <f>SUM(S50:S56)</f>
        <v>2061</v>
      </c>
      <c r="T49" s="188">
        <f>ROUND(S49/R49*100,1)</f>
        <v>84.3</v>
      </c>
      <c r="U49" s="193">
        <f>ROUND(T49/S49*100,1)</f>
        <v>4.0999999999999996</v>
      </c>
      <c r="V49" s="194">
        <f>SUM(V50:V56)</f>
        <v>0</v>
      </c>
      <c r="W49" s="193">
        <f>ROUND(V49/U49*100,1)</f>
        <v>0</v>
      </c>
      <c r="X49" s="254">
        <f>SUM(X50:X56)</f>
        <v>146410</v>
      </c>
      <c r="Y49" s="306">
        <f t="shared" ref="Y49:AR49" si="55">SUM(Y50:Y56)</f>
        <v>20093</v>
      </c>
      <c r="Z49" s="306">
        <f t="shared" si="55"/>
        <v>56.44</v>
      </c>
      <c r="AA49" s="306">
        <f t="shared" si="55"/>
        <v>63852</v>
      </c>
      <c r="AB49" s="306">
        <f t="shared" si="55"/>
        <v>5694</v>
      </c>
      <c r="AC49" s="306">
        <f t="shared" si="55"/>
        <v>73.189999999999984</v>
      </c>
      <c r="AD49" s="306">
        <f t="shared" si="55"/>
        <v>31662</v>
      </c>
      <c r="AE49" s="306">
        <f t="shared" si="55"/>
        <v>2837</v>
      </c>
      <c r="AF49" s="306">
        <f t="shared" si="55"/>
        <v>76.44</v>
      </c>
      <c r="AG49" s="306">
        <f t="shared" si="55"/>
        <v>455987</v>
      </c>
      <c r="AH49" s="306">
        <f t="shared" si="55"/>
        <v>70109</v>
      </c>
      <c r="AI49" s="306">
        <f t="shared" si="55"/>
        <v>76.44</v>
      </c>
      <c r="AJ49" s="306">
        <f t="shared" si="55"/>
        <v>242006</v>
      </c>
      <c r="AK49" s="306">
        <f t="shared" si="55"/>
        <v>30475</v>
      </c>
      <c r="AL49" s="306">
        <f t="shared" si="55"/>
        <v>76.45</v>
      </c>
      <c r="AM49" s="306">
        <f t="shared" si="55"/>
        <v>27726</v>
      </c>
      <c r="AN49" s="341">
        <f t="shared" si="55"/>
        <v>2666</v>
      </c>
      <c r="AO49" s="306">
        <f>SUM(AO50:AO56)</f>
        <v>87.990000000000009</v>
      </c>
      <c r="AP49" s="306">
        <f t="shared" si="55"/>
        <v>0</v>
      </c>
      <c r="AQ49" s="306">
        <f t="shared" si="55"/>
        <v>0</v>
      </c>
      <c r="AR49" s="254">
        <f t="shared" si="55"/>
        <v>32.89</v>
      </c>
      <c r="AS49">
        <f t="shared" si="27"/>
        <v>16173.5</v>
      </c>
      <c r="AT49">
        <f t="shared" si="28"/>
        <v>12.74306736327944</v>
      </c>
    </row>
    <row r="50" spans="1:46" ht="15" customHeight="1" x14ac:dyDescent="0.2">
      <c r="A50" s="67">
        <v>39</v>
      </c>
      <c r="B50" s="77" t="s">
        <v>213</v>
      </c>
      <c r="C50" s="189">
        <f t="shared" ref="C50:C56" si="56">Y50/12*11</f>
        <v>15851</v>
      </c>
      <c r="D50" s="189">
        <f>[2]костр!$C$129</f>
        <v>14557</v>
      </c>
      <c r="E50" s="190">
        <f>ROUND(D50/C50*100,1)</f>
        <v>91.8</v>
      </c>
      <c r="F50" s="189">
        <f t="shared" ref="F50:F56" si="57">AB50/12*11</f>
        <v>2621.666666666667</v>
      </c>
      <c r="G50" s="189">
        <f>[2]костр!$O$129</f>
        <v>2166</v>
      </c>
      <c r="H50" s="191">
        <f>ROUND(G50/F50*100,1)</f>
        <v>82.6</v>
      </c>
      <c r="I50" s="189">
        <f t="shared" ref="I50:I56" si="58">AE50/12*11</f>
        <v>900.16666666666663</v>
      </c>
      <c r="J50" s="189">
        <f>[2]костр!$W$129</f>
        <v>509</v>
      </c>
      <c r="K50" s="191">
        <f>ROUND(J50/I50*100,1)</f>
        <v>56.5</v>
      </c>
      <c r="L50" s="189">
        <f t="shared" si="43"/>
        <v>37027.833333333328</v>
      </c>
      <c r="M50" s="262">
        <f>[2]костр!$S$129</f>
        <v>34680.04</v>
      </c>
      <c r="N50" s="191">
        <f>ROUND(M50/L50*100,1)</f>
        <v>93.7</v>
      </c>
      <c r="O50" s="189">
        <f t="shared" ref="O50:O56" si="59">AK50/12*11</f>
        <v>14163.416666666666</v>
      </c>
      <c r="P50" s="189">
        <f>[2]костр!$AA$129</f>
        <v>11443</v>
      </c>
      <c r="Q50" s="191">
        <f>ROUND(P50/O50*100,1)</f>
        <v>80.8</v>
      </c>
      <c r="R50" s="189">
        <f t="shared" ref="R50:R56" si="60">AN50/12*11</f>
        <v>0</v>
      </c>
      <c r="S50" s="189">
        <f>[2]костр!$G$129</f>
        <v>0</v>
      </c>
      <c r="T50" s="191"/>
      <c r="U50" s="189">
        <f t="shared" ref="U50:U56" si="61">AQ50/12*11</f>
        <v>0</v>
      </c>
      <c r="V50" s="189"/>
      <c r="W50" s="191"/>
      <c r="X50" s="293">
        <v>62050</v>
      </c>
      <c r="Y50" s="299">
        <v>17292</v>
      </c>
      <c r="Z50" s="325">
        <f>23.9-0.01</f>
        <v>23.889999999999997</v>
      </c>
      <c r="AA50" s="326">
        <v>13652</v>
      </c>
      <c r="AB50" s="299">
        <v>2860</v>
      </c>
      <c r="AC50" s="256">
        <v>30.64</v>
      </c>
      <c r="AD50" s="327">
        <v>13000</v>
      </c>
      <c r="AE50" s="299">
        <v>982</v>
      </c>
      <c r="AF50" s="331">
        <v>23.53</v>
      </c>
      <c r="AG50" s="336">
        <v>128230</v>
      </c>
      <c r="AH50" s="299">
        <v>40394</v>
      </c>
      <c r="AI50" s="299">
        <v>23.53</v>
      </c>
      <c r="AJ50" s="313">
        <v>60452</v>
      </c>
      <c r="AK50" s="299">
        <v>15451</v>
      </c>
      <c r="AL50" s="331">
        <v>23.53</v>
      </c>
      <c r="AM50" s="314">
        <v>0</v>
      </c>
      <c r="AN50" s="339">
        <f t="shared" si="5"/>
        <v>0</v>
      </c>
      <c r="AO50" s="340">
        <v>23.53</v>
      </c>
      <c r="AP50" s="324"/>
      <c r="AQ50" s="299">
        <f t="shared" si="26"/>
        <v>0</v>
      </c>
      <c r="AR50" s="223">
        <v>23.53</v>
      </c>
      <c r="AS50">
        <f t="shared" si="27"/>
        <v>0</v>
      </c>
    </row>
    <row r="51" spans="1:46" ht="15" customHeight="1" x14ac:dyDescent="0.2">
      <c r="A51" s="67">
        <v>40</v>
      </c>
      <c r="B51" s="77" t="s">
        <v>242</v>
      </c>
      <c r="C51" s="189">
        <f t="shared" si="56"/>
        <v>537.16666666666674</v>
      </c>
      <c r="D51" s="189">
        <f>[3]ВОЛГ!$C$129</f>
        <v>494</v>
      </c>
      <c r="E51" s="190">
        <f>ROUND(D51/C51*100,1)</f>
        <v>92</v>
      </c>
      <c r="F51" s="189">
        <f t="shared" si="57"/>
        <v>84.333333333333343</v>
      </c>
      <c r="G51" s="189">
        <f>[3]ВОЛГ!$O$129</f>
        <v>59</v>
      </c>
      <c r="H51" s="191">
        <f>ROUND(G51/F51*100,1)</f>
        <v>70</v>
      </c>
      <c r="I51" s="189">
        <f t="shared" si="58"/>
        <v>21.083333333333336</v>
      </c>
      <c r="J51" s="189">
        <f>[3]ВОЛГ!$W$129</f>
        <v>4</v>
      </c>
      <c r="K51" s="191">
        <f>ROUND(J51/I51*100,1)</f>
        <v>19</v>
      </c>
      <c r="L51" s="189">
        <f t="shared" si="43"/>
        <v>690.25</v>
      </c>
      <c r="M51" s="189">
        <f>[3]ВОЛГ!$S$129</f>
        <v>653.19000000000017</v>
      </c>
      <c r="N51" s="191">
        <f>ROUND(M51/L51*100,1)</f>
        <v>94.6</v>
      </c>
      <c r="O51" s="189">
        <f t="shared" si="59"/>
        <v>318.08333333333337</v>
      </c>
      <c r="P51" s="189">
        <f>[3]ВОЛГ!$AA$129</f>
        <v>248</v>
      </c>
      <c r="Q51" s="191">
        <f>ROUND(P51/O51*100,1)</f>
        <v>78</v>
      </c>
      <c r="R51" s="189">
        <f t="shared" si="60"/>
        <v>66.916666666666657</v>
      </c>
      <c r="S51" s="189">
        <f>[3]ВОЛГ!$G$129</f>
        <v>49</v>
      </c>
      <c r="T51" s="191">
        <f>ROUND(S51/R51*100,1)</f>
        <v>73.2</v>
      </c>
      <c r="U51" s="189">
        <f t="shared" si="61"/>
        <v>0</v>
      </c>
      <c r="V51" s="189"/>
      <c r="W51" s="191"/>
      <c r="X51" s="222">
        <v>28474</v>
      </c>
      <c r="Y51" s="299">
        <v>586</v>
      </c>
      <c r="Z51" s="308">
        <v>3.94</v>
      </c>
      <c r="AA51" s="309">
        <v>11500</v>
      </c>
      <c r="AB51" s="299">
        <v>92</v>
      </c>
      <c r="AC51" s="331">
        <v>1.29</v>
      </c>
      <c r="AD51" s="310">
        <v>3273</v>
      </c>
      <c r="AE51" s="299">
        <v>23</v>
      </c>
      <c r="AF51" s="331">
        <v>1.1299999999999999</v>
      </c>
      <c r="AG51" s="336">
        <v>39271</v>
      </c>
      <c r="AH51" s="299">
        <f>720+33</f>
        <v>753</v>
      </c>
      <c r="AI51" s="299">
        <v>1.1299999999999999</v>
      </c>
      <c r="AJ51" s="313">
        <v>41165</v>
      </c>
      <c r="AK51" s="299">
        <v>347</v>
      </c>
      <c r="AL51" s="331">
        <v>1.1299999999999999</v>
      </c>
      <c r="AM51" s="314">
        <v>5809</v>
      </c>
      <c r="AN51" s="339">
        <v>73</v>
      </c>
      <c r="AO51" s="340">
        <f>0.73+5.03</f>
        <v>5.76</v>
      </c>
      <c r="AP51" s="324"/>
      <c r="AQ51" s="299">
        <f t="shared" si="26"/>
        <v>0</v>
      </c>
      <c r="AR51" s="223">
        <v>1.1299999999999999</v>
      </c>
      <c r="AS51">
        <f t="shared" si="27"/>
        <v>3388.583333333333</v>
      </c>
      <c r="AT51">
        <f t="shared" si="28"/>
        <v>1.4460320192804272</v>
      </c>
    </row>
    <row r="52" spans="1:46" ht="15" customHeight="1" x14ac:dyDescent="0.2">
      <c r="A52" s="67">
        <v>41</v>
      </c>
      <c r="B52" s="77" t="s">
        <v>274</v>
      </c>
      <c r="C52" s="189">
        <f t="shared" si="56"/>
        <v>1146.75</v>
      </c>
      <c r="D52" s="189">
        <f>[4]красное!$C$129</f>
        <v>843</v>
      </c>
      <c r="E52" s="190">
        <f>ROUND(D52/C52*100,1)</f>
        <v>73.5</v>
      </c>
      <c r="F52" s="189">
        <f t="shared" si="57"/>
        <v>2012.0833333333333</v>
      </c>
      <c r="G52" s="189">
        <f>[4]красное!$O$129</f>
        <v>1710</v>
      </c>
      <c r="H52" s="191">
        <f>ROUND(G52/F52*100,1)</f>
        <v>85</v>
      </c>
      <c r="I52" s="189">
        <f t="shared" si="58"/>
        <v>1470.3333333333333</v>
      </c>
      <c r="J52" s="189">
        <f>[4]красное!$W$129</f>
        <v>773</v>
      </c>
      <c r="K52" s="191">
        <f>ROUND(J52/I52*100,1)</f>
        <v>52.6</v>
      </c>
      <c r="L52" s="189">
        <f t="shared" si="43"/>
        <v>22178.75</v>
      </c>
      <c r="M52" s="189">
        <f>[4]красное!$S$129</f>
        <v>20707.420000000002</v>
      </c>
      <c r="N52" s="191">
        <f>ROUND(M52/L52*100,1)</f>
        <v>93.4</v>
      </c>
      <c r="O52" s="189">
        <f t="shared" si="59"/>
        <v>12219.166666666666</v>
      </c>
      <c r="P52" s="189">
        <f>[4]красное!$AA$129</f>
        <v>9751</v>
      </c>
      <c r="Q52" s="191">
        <f>ROUND(P52/O52*100,1)</f>
        <v>79.8</v>
      </c>
      <c r="R52" s="189">
        <f t="shared" si="60"/>
        <v>2003.8333333333333</v>
      </c>
      <c r="S52" s="189">
        <f>[4]красное!$G$129</f>
        <v>1713</v>
      </c>
      <c r="T52" s="191">
        <f>ROUND(S52/R52*100,1)</f>
        <v>85.5</v>
      </c>
      <c r="U52" s="189">
        <f t="shared" si="61"/>
        <v>0</v>
      </c>
      <c r="V52" s="189"/>
      <c r="W52" s="191"/>
      <c r="X52" s="222">
        <v>3200</v>
      </c>
      <c r="Y52" s="299">
        <v>1251</v>
      </c>
      <c r="Z52" s="308">
        <v>23.9</v>
      </c>
      <c r="AA52" s="309">
        <v>6000</v>
      </c>
      <c r="AB52" s="299">
        <v>2195</v>
      </c>
      <c r="AC52" s="331">
        <v>36.58</v>
      </c>
      <c r="AD52" s="310">
        <v>1000</v>
      </c>
      <c r="AE52" s="299">
        <v>1604</v>
      </c>
      <c r="AF52" s="331">
        <v>43.56</v>
      </c>
      <c r="AG52" s="336">
        <v>39436</v>
      </c>
      <c r="AH52" s="299">
        <v>24195</v>
      </c>
      <c r="AI52" s="299">
        <v>43.56</v>
      </c>
      <c r="AJ52" s="313">
        <v>26656</v>
      </c>
      <c r="AK52" s="299">
        <v>13330</v>
      </c>
      <c r="AL52" s="331">
        <v>43.56</v>
      </c>
      <c r="AM52" s="314">
        <v>4921</v>
      </c>
      <c r="AN52" s="339">
        <v>2186</v>
      </c>
      <c r="AO52" s="340">
        <f>41.38-1.64-0.08</f>
        <v>39.660000000000004</v>
      </c>
      <c r="AP52" s="324"/>
      <c r="AQ52" s="299">
        <f t="shared" si="26"/>
        <v>0</v>
      </c>
      <c r="AR52" s="223"/>
      <c r="AS52">
        <f t="shared" si="27"/>
        <v>2870.583333333333</v>
      </c>
      <c r="AT52">
        <f t="shared" si="28"/>
        <v>59.674282230673214</v>
      </c>
    </row>
    <row r="53" spans="1:46" ht="15" customHeight="1" x14ac:dyDescent="0.2">
      <c r="A53" s="66">
        <v>42</v>
      </c>
      <c r="B53" s="77" t="s">
        <v>244</v>
      </c>
      <c r="C53" s="189">
        <f t="shared" si="56"/>
        <v>635.25</v>
      </c>
      <c r="D53" s="189">
        <f>[4]нерехта!$C$129</f>
        <v>592</v>
      </c>
      <c r="E53" s="190">
        <f>ROUND(D53/C53*100,1)</f>
        <v>93.2</v>
      </c>
      <c r="F53" s="189">
        <f t="shared" si="57"/>
        <v>330</v>
      </c>
      <c r="G53" s="189">
        <f>[4]нерехта!$O$129</f>
        <v>276</v>
      </c>
      <c r="H53" s="191">
        <f>ROUND(G53/F53*100,1)</f>
        <v>83.6</v>
      </c>
      <c r="I53" s="189">
        <f t="shared" si="58"/>
        <v>77</v>
      </c>
      <c r="J53" s="189">
        <f>[4]нерехта!$W$129</f>
        <v>59</v>
      </c>
      <c r="K53" s="191">
        <f>ROUND(J53/I53*100,1)</f>
        <v>76.599999999999994</v>
      </c>
      <c r="L53" s="189">
        <f t="shared" si="43"/>
        <v>1356.6666666666665</v>
      </c>
      <c r="M53" s="189">
        <f>[4]нерехта!$S$129</f>
        <v>1280.6200000000001</v>
      </c>
      <c r="N53" s="191">
        <f t="shared" si="14"/>
        <v>94.4</v>
      </c>
      <c r="O53" s="189">
        <f t="shared" si="59"/>
        <v>609.58333333333326</v>
      </c>
      <c r="P53" s="189">
        <f>[4]нерехта!$AA$129</f>
        <v>519</v>
      </c>
      <c r="Q53" s="191">
        <f t="shared" si="2"/>
        <v>85.1</v>
      </c>
      <c r="R53" s="189">
        <f t="shared" si="60"/>
        <v>198</v>
      </c>
      <c r="S53" s="189">
        <f>[4]нерехта!$G$129</f>
        <v>163</v>
      </c>
      <c r="T53" s="191">
        <f t="shared" si="15"/>
        <v>82.3</v>
      </c>
      <c r="U53" s="189">
        <f t="shared" si="61"/>
        <v>0</v>
      </c>
      <c r="V53" s="189"/>
      <c r="W53" s="191"/>
      <c r="X53" s="222">
        <v>41300</v>
      </c>
      <c r="Y53" s="299">
        <v>693</v>
      </c>
      <c r="Z53" s="308">
        <v>2.02</v>
      </c>
      <c r="AA53" s="309">
        <v>20000</v>
      </c>
      <c r="AB53" s="299">
        <v>360</v>
      </c>
      <c r="AC53" s="331">
        <f>2.09-0.01</f>
        <v>2.08</v>
      </c>
      <c r="AD53" s="310">
        <v>11365</v>
      </c>
      <c r="AE53" s="299">
        <v>84</v>
      </c>
      <c r="AF53" s="331">
        <v>1.78</v>
      </c>
      <c r="AG53" s="336">
        <v>106408</v>
      </c>
      <c r="AH53" s="299">
        <v>1480</v>
      </c>
      <c r="AI53" s="299">
        <v>1.78</v>
      </c>
      <c r="AJ53" s="313">
        <v>57770</v>
      </c>
      <c r="AK53" s="299">
        <v>665</v>
      </c>
      <c r="AL53" s="331">
        <v>1.78</v>
      </c>
      <c r="AM53" s="314">
        <v>9344</v>
      </c>
      <c r="AN53" s="339">
        <v>216</v>
      </c>
      <c r="AO53" s="340">
        <f>1.9+2.54</f>
        <v>4.4399999999999995</v>
      </c>
      <c r="AP53" s="324"/>
      <c r="AQ53" s="299">
        <f t="shared" si="26"/>
        <v>0</v>
      </c>
      <c r="AR53" s="223">
        <v>1.78</v>
      </c>
      <c r="AS53">
        <f t="shared" si="27"/>
        <v>5450.6666666666661</v>
      </c>
      <c r="AT53">
        <f t="shared" si="28"/>
        <v>2.9904598825831705</v>
      </c>
    </row>
    <row r="54" spans="1:46" ht="15" customHeight="1" x14ac:dyDescent="0.2">
      <c r="A54" s="66">
        <v>43</v>
      </c>
      <c r="B54" s="77" t="s">
        <v>214</v>
      </c>
      <c r="C54" s="189">
        <f t="shared" si="56"/>
        <v>0</v>
      </c>
      <c r="D54" s="189">
        <f>[4]стомНер!$C$129</f>
        <v>0</v>
      </c>
      <c r="E54" s="190"/>
      <c r="F54" s="189">
        <f t="shared" si="57"/>
        <v>0</v>
      </c>
      <c r="G54" s="189">
        <f>[4]стомНер!$O$129</f>
        <v>0</v>
      </c>
      <c r="H54" s="191"/>
      <c r="I54" s="189">
        <f t="shared" si="58"/>
        <v>0</v>
      </c>
      <c r="J54" s="189">
        <f>[4]стомНер!$W$129</f>
        <v>0</v>
      </c>
      <c r="K54" s="191"/>
      <c r="L54" s="189">
        <f t="shared" si="43"/>
        <v>737.91666666666663</v>
      </c>
      <c r="M54" s="189">
        <f>[4]стомНер!$S$129</f>
        <v>626.46999999999991</v>
      </c>
      <c r="N54" s="191">
        <f t="shared" si="14"/>
        <v>84.9</v>
      </c>
      <c r="O54" s="189">
        <f t="shared" si="59"/>
        <v>134.75</v>
      </c>
      <c r="P54" s="189">
        <f>[4]стомНер!$AA$129</f>
        <v>49</v>
      </c>
      <c r="Q54" s="191"/>
      <c r="R54" s="189">
        <f t="shared" si="60"/>
        <v>0</v>
      </c>
      <c r="S54" s="189">
        <f>[4]стомНер!$G$129</f>
        <v>0</v>
      </c>
      <c r="T54" s="191"/>
      <c r="U54" s="189">
        <f t="shared" si="61"/>
        <v>0</v>
      </c>
      <c r="V54" s="189"/>
      <c r="W54" s="191"/>
      <c r="X54" s="222"/>
      <c r="Y54" s="299">
        <f>VALUE(X54*Z54/100)</f>
        <v>0</v>
      </c>
      <c r="Z54" s="308"/>
      <c r="AA54" s="309"/>
      <c r="AB54" s="299">
        <f>VALUE(AA54*AC54/100)</f>
        <v>0</v>
      </c>
      <c r="AC54" s="331"/>
      <c r="AD54" s="310">
        <v>824</v>
      </c>
      <c r="AE54" s="299">
        <v>0</v>
      </c>
      <c r="AF54" s="331">
        <f>2.15-0.01</f>
        <v>2.14</v>
      </c>
      <c r="AG54" s="336">
        <v>32037</v>
      </c>
      <c r="AH54" s="299">
        <v>805</v>
      </c>
      <c r="AI54" s="299">
        <f>2.15-0.01</f>
        <v>2.14</v>
      </c>
      <c r="AJ54" s="313">
        <v>9443</v>
      </c>
      <c r="AK54" s="299">
        <v>147</v>
      </c>
      <c r="AL54" s="331">
        <v>2.15</v>
      </c>
      <c r="AM54" s="314"/>
      <c r="AN54" s="339">
        <f t="shared" si="5"/>
        <v>0</v>
      </c>
      <c r="AO54" s="340">
        <v>2.15</v>
      </c>
      <c r="AP54" s="324"/>
      <c r="AQ54" s="299">
        <f t="shared" si="26"/>
        <v>0</v>
      </c>
      <c r="AR54" s="223">
        <v>2.15</v>
      </c>
      <c r="AS54">
        <f t="shared" si="27"/>
        <v>0</v>
      </c>
    </row>
    <row r="55" spans="1:46" ht="15" customHeight="1" x14ac:dyDescent="0.2">
      <c r="A55" s="66">
        <v>44</v>
      </c>
      <c r="B55" s="77" t="s">
        <v>245</v>
      </c>
      <c r="C55" s="189">
        <f t="shared" si="56"/>
        <v>216.33333333333334</v>
      </c>
      <c r="D55" s="189">
        <f>[3]ОСТР!$C$129</f>
        <v>161</v>
      </c>
      <c r="E55" s="190">
        <f t="shared" si="18"/>
        <v>74.400000000000006</v>
      </c>
      <c r="F55" s="189">
        <f t="shared" si="57"/>
        <v>68.75</v>
      </c>
      <c r="G55" s="189">
        <f>[3]ОСТР!$O$129</f>
        <v>39</v>
      </c>
      <c r="H55" s="191">
        <f>ROUND(G55/F55*100,1)</f>
        <v>56.7</v>
      </c>
      <c r="I55" s="189">
        <f t="shared" si="58"/>
        <v>79.75</v>
      </c>
      <c r="J55" s="189">
        <f>[3]ОСТР!$W$129</f>
        <v>33</v>
      </c>
      <c r="K55" s="191">
        <f>ROUND(J55/I55*100,1)</f>
        <v>41.4</v>
      </c>
      <c r="L55" s="189">
        <f t="shared" si="43"/>
        <v>916.66666666666663</v>
      </c>
      <c r="M55" s="189">
        <f>[3]ОСТР!$S$129</f>
        <v>784.33999999999992</v>
      </c>
      <c r="N55" s="191">
        <f t="shared" si="14"/>
        <v>85.6</v>
      </c>
      <c r="O55" s="189">
        <f t="shared" si="59"/>
        <v>163.16666666666669</v>
      </c>
      <c r="P55" s="189">
        <f>[3]ОСТР!$AA$129</f>
        <v>128</v>
      </c>
      <c r="Q55" s="191">
        <f t="shared" si="2"/>
        <v>78.400000000000006</v>
      </c>
      <c r="R55" s="189">
        <f t="shared" si="60"/>
        <v>98.083333333333329</v>
      </c>
      <c r="S55" s="189">
        <f>[3]ОСТР!$G$129</f>
        <v>76</v>
      </c>
      <c r="T55" s="191">
        <f t="shared" si="15"/>
        <v>77.5</v>
      </c>
      <c r="U55" s="189">
        <f t="shared" si="61"/>
        <v>0</v>
      </c>
      <c r="V55" s="189"/>
      <c r="W55" s="191"/>
      <c r="X55" s="222">
        <v>7600</v>
      </c>
      <c r="Y55" s="299">
        <v>236</v>
      </c>
      <c r="Z55" s="308">
        <v>0.98</v>
      </c>
      <c r="AA55" s="309">
        <v>5700</v>
      </c>
      <c r="AB55" s="299">
        <v>75</v>
      </c>
      <c r="AC55" s="331">
        <v>0.41</v>
      </c>
      <c r="AD55" s="310">
        <v>1200</v>
      </c>
      <c r="AE55" s="299">
        <v>87</v>
      </c>
      <c r="AF55" s="331">
        <v>1.25</v>
      </c>
      <c r="AG55" s="336">
        <v>37238</v>
      </c>
      <c r="AH55" s="299">
        <v>1000</v>
      </c>
      <c r="AI55" s="299">
        <v>1.25</v>
      </c>
      <c r="AJ55" s="313">
        <v>28498</v>
      </c>
      <c r="AK55" s="299">
        <v>178</v>
      </c>
      <c r="AL55" s="331">
        <v>1.25</v>
      </c>
      <c r="AM55" s="314">
        <v>3688</v>
      </c>
      <c r="AN55" s="339">
        <v>107</v>
      </c>
      <c r="AO55" s="340">
        <f>2.88+6.62</f>
        <v>9.5</v>
      </c>
      <c r="AP55" s="324"/>
      <c r="AQ55" s="299">
        <f t="shared" si="26"/>
        <v>0</v>
      </c>
      <c r="AR55" s="223">
        <v>1.25</v>
      </c>
      <c r="AS55">
        <f t="shared" si="27"/>
        <v>2151.333333333333</v>
      </c>
      <c r="AT55">
        <f t="shared" si="28"/>
        <v>3.5326929036256587</v>
      </c>
    </row>
    <row r="56" spans="1:46" ht="15" customHeight="1" x14ac:dyDescent="0.2">
      <c r="A56" s="66">
        <v>45</v>
      </c>
      <c r="B56" s="77" t="s">
        <v>246</v>
      </c>
      <c r="C56" s="189">
        <f t="shared" si="56"/>
        <v>32.083333333333329</v>
      </c>
      <c r="D56" s="189">
        <f>[4]суд!$C$129</f>
        <v>20</v>
      </c>
      <c r="E56" s="190">
        <f t="shared" si="18"/>
        <v>62.3</v>
      </c>
      <c r="F56" s="189">
        <f t="shared" si="57"/>
        <v>102.66666666666667</v>
      </c>
      <c r="G56" s="189">
        <f>[4]суд!$O$129</f>
        <v>77</v>
      </c>
      <c r="H56" s="191">
        <f>ROUND(G56/F56*100,1)</f>
        <v>75</v>
      </c>
      <c r="I56" s="189">
        <f t="shared" si="58"/>
        <v>52.25</v>
      </c>
      <c r="J56" s="189">
        <f>[4]суд!$W$129</f>
        <v>1</v>
      </c>
      <c r="K56" s="191">
        <f>ROUND(J56/I56*100,1)</f>
        <v>1.9</v>
      </c>
      <c r="L56" s="189">
        <f t="shared" si="43"/>
        <v>1358.5</v>
      </c>
      <c r="M56" s="189">
        <f>[4]суд!$S$129</f>
        <v>1225.44</v>
      </c>
      <c r="N56" s="191">
        <f t="shared" si="14"/>
        <v>90.2</v>
      </c>
      <c r="O56" s="189">
        <f t="shared" si="59"/>
        <v>327.25</v>
      </c>
      <c r="P56" s="189">
        <f>[4]суд!$AA$129</f>
        <v>257</v>
      </c>
      <c r="Q56" s="191">
        <f t="shared" si="2"/>
        <v>78.5</v>
      </c>
      <c r="R56" s="189">
        <f t="shared" si="60"/>
        <v>77</v>
      </c>
      <c r="S56" s="189">
        <f>[4]суд!$G$129</f>
        <v>60</v>
      </c>
      <c r="T56" s="191">
        <f t="shared" si="15"/>
        <v>77.900000000000006</v>
      </c>
      <c r="U56" s="189">
        <f t="shared" si="61"/>
        <v>0</v>
      </c>
      <c r="V56" s="189"/>
      <c r="W56" s="191"/>
      <c r="X56" s="222">
        <v>3786</v>
      </c>
      <c r="Y56" s="299">
        <v>35</v>
      </c>
      <c r="Z56" s="308">
        <f>1.72-0.01</f>
        <v>1.71</v>
      </c>
      <c r="AA56" s="309">
        <v>7000</v>
      </c>
      <c r="AB56" s="299">
        <v>112</v>
      </c>
      <c r="AC56" s="331">
        <v>2.19</v>
      </c>
      <c r="AD56" s="310">
        <v>1000</v>
      </c>
      <c r="AE56" s="299">
        <v>57</v>
      </c>
      <c r="AF56" s="331">
        <v>3.05</v>
      </c>
      <c r="AG56" s="336">
        <v>73367</v>
      </c>
      <c r="AH56" s="299">
        <v>1482</v>
      </c>
      <c r="AI56" s="299">
        <v>3.05</v>
      </c>
      <c r="AJ56" s="313">
        <v>18022</v>
      </c>
      <c r="AK56" s="299">
        <v>357</v>
      </c>
      <c r="AL56" s="331">
        <v>3.05</v>
      </c>
      <c r="AM56" s="314">
        <v>3964</v>
      </c>
      <c r="AN56" s="339">
        <v>84</v>
      </c>
      <c r="AO56" s="340">
        <f>1.82+1.13</f>
        <v>2.95</v>
      </c>
      <c r="AP56" s="324"/>
      <c r="AQ56" s="299">
        <f t="shared" si="26"/>
        <v>0</v>
      </c>
      <c r="AR56" s="223">
        <v>3.05</v>
      </c>
      <c r="AS56">
        <f t="shared" si="27"/>
        <v>2312.333333333333</v>
      </c>
      <c r="AT56">
        <f t="shared" si="28"/>
        <v>2.5947816058815052</v>
      </c>
    </row>
    <row r="57" spans="1:46" ht="15" customHeight="1" x14ac:dyDescent="0.25">
      <c r="A57" s="66"/>
      <c r="B57" s="194" t="s">
        <v>276</v>
      </c>
      <c r="C57" s="194">
        <f>SUM(C58:C73)</f>
        <v>1768.25</v>
      </c>
      <c r="D57" s="194">
        <f>SUM(D58:D73)</f>
        <v>1191</v>
      </c>
      <c r="E57" s="187">
        <f t="shared" si="18"/>
        <v>67.400000000000006</v>
      </c>
      <c r="F57" s="194">
        <f>SUM(F58:F73)</f>
        <v>2729.833333333333</v>
      </c>
      <c r="G57" s="194">
        <f>SUM(G58:G73)</f>
        <v>1795</v>
      </c>
      <c r="H57" s="276">
        <f>ROUND(G57/F57*100,1)</f>
        <v>65.8</v>
      </c>
      <c r="I57" s="194">
        <f>SUM(I58:I73)</f>
        <v>0</v>
      </c>
      <c r="J57" s="194">
        <f>SUM(J58:J73)</f>
        <v>0</v>
      </c>
      <c r="K57" s="193" t="e">
        <f>ROUND(J57/I57*100,1)</f>
        <v>#DIV/0!</v>
      </c>
      <c r="L57" s="194">
        <f>SUM(L58:L73)</f>
        <v>76414.25</v>
      </c>
      <c r="M57" s="194">
        <f>SUM(M58:M73)</f>
        <v>80209.67</v>
      </c>
      <c r="N57" s="276">
        <f t="shared" si="14"/>
        <v>105</v>
      </c>
      <c r="O57" s="194">
        <f>SUM(O58:O73)</f>
        <v>25993.916666666664</v>
      </c>
      <c r="P57" s="194">
        <f>SUM(P58:P73)</f>
        <v>4635</v>
      </c>
      <c r="Q57" s="276">
        <f t="shared" si="2"/>
        <v>17.8</v>
      </c>
      <c r="R57" s="194">
        <f>SUM(R58:R73)</f>
        <v>0</v>
      </c>
      <c r="S57" s="194">
        <f>SUM(S58:S73)</f>
        <v>0</v>
      </c>
      <c r="T57" s="193" t="e">
        <f t="shared" si="15"/>
        <v>#DIV/0!</v>
      </c>
      <c r="U57" s="194">
        <f>SUM(U58:U73)</f>
        <v>3102.9166666666665</v>
      </c>
      <c r="V57" s="194">
        <f>SUM(V58:V73)</f>
        <v>2336</v>
      </c>
      <c r="W57" s="193">
        <f>ROUND(V57/U57*100,1)</f>
        <v>75.3</v>
      </c>
      <c r="X57" s="254">
        <f>SUM(X58:X73)</f>
        <v>11703</v>
      </c>
      <c r="Y57" s="306">
        <f t="shared" ref="Y57:AR57" si="62">SUM(Y58:Y73)</f>
        <v>1929</v>
      </c>
      <c r="Z57" s="306">
        <f t="shared" si="62"/>
        <v>405.11999999999989</v>
      </c>
      <c r="AA57" s="306">
        <f t="shared" si="62"/>
        <v>11126</v>
      </c>
      <c r="AB57" s="306">
        <f t="shared" si="62"/>
        <v>2978</v>
      </c>
      <c r="AC57" s="306">
        <f t="shared" si="62"/>
        <v>69.960000000000008</v>
      </c>
      <c r="AD57" s="306">
        <f t="shared" si="62"/>
        <v>30</v>
      </c>
      <c r="AE57" s="306">
        <f t="shared" si="62"/>
        <v>0</v>
      </c>
      <c r="AF57" s="306">
        <f t="shared" si="62"/>
        <v>518.74</v>
      </c>
      <c r="AG57" s="306">
        <f t="shared" si="62"/>
        <v>97818</v>
      </c>
      <c r="AH57" s="306">
        <f t="shared" si="62"/>
        <v>83361</v>
      </c>
      <c r="AI57" s="306">
        <f t="shared" si="62"/>
        <v>519.51</v>
      </c>
      <c r="AJ57" s="306">
        <f t="shared" si="62"/>
        <v>43235</v>
      </c>
      <c r="AK57" s="306">
        <f t="shared" si="62"/>
        <v>28357</v>
      </c>
      <c r="AL57" s="306">
        <f t="shared" si="62"/>
        <v>519.47</v>
      </c>
      <c r="AM57" s="306">
        <f t="shared" si="62"/>
        <v>0</v>
      </c>
      <c r="AN57" s="341">
        <f t="shared" si="62"/>
        <v>0</v>
      </c>
      <c r="AO57" s="306">
        <f>SUM(AO58:AO73)</f>
        <v>519.47</v>
      </c>
      <c r="AP57" s="306">
        <f t="shared" si="62"/>
        <v>10762</v>
      </c>
      <c r="AQ57" s="306">
        <f t="shared" si="62"/>
        <v>3385</v>
      </c>
      <c r="AR57" s="254">
        <f t="shared" si="62"/>
        <v>519.47</v>
      </c>
      <c r="AS57">
        <f t="shared" si="27"/>
        <v>0</v>
      </c>
    </row>
    <row r="58" spans="1:46" ht="15" customHeight="1" x14ac:dyDescent="0.2">
      <c r="A58" s="66">
        <v>46</v>
      </c>
      <c r="B58" s="67" t="s">
        <v>197</v>
      </c>
      <c r="C58" s="189">
        <f t="shared" ref="C58:C73" si="63">Y58/12*11</f>
        <v>618.75</v>
      </c>
      <c r="D58" s="189">
        <f>[4]увд!$C$129</f>
        <v>460</v>
      </c>
      <c r="E58" s="190">
        <f>ROUND(D58/C58*100,1)</f>
        <v>74.3</v>
      </c>
      <c r="F58" s="189">
        <f t="shared" ref="F58:F73" si="64">AB58/12*11</f>
        <v>342.83333333333337</v>
      </c>
      <c r="G58" s="189">
        <f>[4]увд!$O$129</f>
        <v>156</v>
      </c>
      <c r="H58" s="191">
        <f>ROUND(G58/F58*100,1)</f>
        <v>45.5</v>
      </c>
      <c r="I58" s="189">
        <f t="shared" ref="I58:I73" si="65">AE58/12*11</f>
        <v>0</v>
      </c>
      <c r="J58" s="189">
        <f>[4]увд!$W$129</f>
        <v>0</v>
      </c>
      <c r="K58" s="191"/>
      <c r="L58" s="189">
        <f t="shared" si="43"/>
        <v>909.33333333333337</v>
      </c>
      <c r="M58" s="189">
        <f>[4]увд!$S$129</f>
        <v>545.70000000000005</v>
      </c>
      <c r="N58" s="191">
        <f t="shared" si="14"/>
        <v>60</v>
      </c>
      <c r="O58" s="189">
        <f t="shared" ref="O58:O73" si="66">AK58/12*11</f>
        <v>265.83333333333337</v>
      </c>
      <c r="P58" s="189">
        <f>[4]увд!$AA$129</f>
        <v>148</v>
      </c>
      <c r="Q58" s="191">
        <f t="shared" si="2"/>
        <v>55.7</v>
      </c>
      <c r="R58" s="189">
        <f t="shared" ref="R58:R73" si="67">AN58/12*11</f>
        <v>0</v>
      </c>
      <c r="S58" s="189">
        <f>[4]увд!$G$129</f>
        <v>0</v>
      </c>
      <c r="T58" s="191"/>
      <c r="U58" s="189">
        <f t="shared" ref="U58:U73" si="68">AQ58/12*11</f>
        <v>0</v>
      </c>
      <c r="V58" s="189"/>
      <c r="W58" s="191"/>
      <c r="X58" s="222">
        <v>3373</v>
      </c>
      <c r="Y58" s="299">
        <v>675</v>
      </c>
      <c r="Z58" s="308">
        <f>12.76+0.01</f>
        <v>12.77</v>
      </c>
      <c r="AA58" s="309">
        <v>1026</v>
      </c>
      <c r="AB58" s="299">
        <v>374</v>
      </c>
      <c r="AC58" s="331">
        <v>18.21</v>
      </c>
      <c r="AD58" s="310"/>
      <c r="AE58" s="299">
        <f>VALUE(AD58*AF58/100)</f>
        <v>0</v>
      </c>
      <c r="AF58" s="331">
        <v>15.99</v>
      </c>
      <c r="AG58" s="336">
        <v>2141</v>
      </c>
      <c r="AH58" s="299">
        <v>992</v>
      </c>
      <c r="AI58" s="299">
        <v>15.99</v>
      </c>
      <c r="AJ58" s="313">
        <v>1400</v>
      </c>
      <c r="AK58" s="299">
        <v>290</v>
      </c>
      <c r="AL58" s="331">
        <v>15.99</v>
      </c>
      <c r="AM58" s="314"/>
      <c r="AN58" s="339">
        <f t="shared" si="5"/>
        <v>0</v>
      </c>
      <c r="AO58" s="340">
        <v>15.99</v>
      </c>
      <c r="AP58" s="324"/>
      <c r="AQ58" s="299">
        <f t="shared" ref="AQ58:AQ72" si="69">VALUE(AP58*AR58/100)</f>
        <v>0</v>
      </c>
      <c r="AR58" s="223">
        <v>15.99</v>
      </c>
      <c r="AS58">
        <f t="shared" si="27"/>
        <v>0</v>
      </c>
    </row>
    <row r="59" spans="1:46" ht="15" customHeight="1" x14ac:dyDescent="0.2">
      <c r="A59" s="66">
        <v>47</v>
      </c>
      <c r="B59" s="67" t="s">
        <v>198</v>
      </c>
      <c r="C59" s="189">
        <f t="shared" si="63"/>
        <v>0</v>
      </c>
      <c r="D59" s="189">
        <f>[3]ФГУ!$C$129</f>
        <v>0</v>
      </c>
      <c r="E59" s="190"/>
      <c r="F59" s="189">
        <f t="shared" si="64"/>
        <v>0</v>
      </c>
      <c r="G59" s="189">
        <f>[3]ФГУ!$O$129</f>
        <v>0</v>
      </c>
      <c r="H59" s="191"/>
      <c r="I59" s="189">
        <f t="shared" si="65"/>
        <v>0</v>
      </c>
      <c r="J59" s="189">
        <f>[3]ФГУ!$W$129</f>
        <v>0</v>
      </c>
      <c r="K59" s="191"/>
      <c r="L59" s="189">
        <f t="shared" si="43"/>
        <v>0</v>
      </c>
      <c r="M59" s="189">
        <f>[3]ФГУ!$S$129</f>
        <v>0</v>
      </c>
      <c r="N59" s="191"/>
      <c r="O59" s="189">
        <f t="shared" si="66"/>
        <v>0</v>
      </c>
      <c r="P59" s="189">
        <f>[3]ФГУ!$AA$129</f>
        <v>0</v>
      </c>
      <c r="Q59" s="191" t="e">
        <f t="shared" si="2"/>
        <v>#DIV/0!</v>
      </c>
      <c r="R59" s="189">
        <f t="shared" si="67"/>
        <v>0</v>
      </c>
      <c r="S59" s="189">
        <f>[3]ФГУ!$G$129</f>
        <v>0</v>
      </c>
      <c r="T59" s="191"/>
      <c r="U59" s="189">
        <f t="shared" si="68"/>
        <v>0</v>
      </c>
      <c r="V59" s="189"/>
      <c r="W59" s="191"/>
      <c r="X59" s="222">
        <v>3000</v>
      </c>
      <c r="Y59" s="299"/>
      <c r="Z59" s="308">
        <f>25.79+0.61</f>
        <v>26.4</v>
      </c>
      <c r="AA59" s="309"/>
      <c r="AB59" s="299">
        <f t="shared" ref="AB59:AB70" si="70">VALUE(AA59*AC59/100)</f>
        <v>0</v>
      </c>
      <c r="AC59" s="331"/>
      <c r="AD59" s="310"/>
      <c r="AE59" s="299">
        <f>VALUE(AD59*AF59/100)</f>
        <v>0</v>
      </c>
      <c r="AF59" s="331">
        <f>23.03+1.03</f>
        <v>24.060000000000002</v>
      </c>
      <c r="AG59" s="336">
        <f>1407-300</f>
        <v>1107</v>
      </c>
      <c r="AH59" s="299">
        <v>0</v>
      </c>
      <c r="AI59" s="299">
        <f>23.03+1.03</f>
        <v>24.060000000000002</v>
      </c>
      <c r="AJ59" s="313">
        <v>1000</v>
      </c>
      <c r="AK59" s="299">
        <v>0</v>
      </c>
      <c r="AL59" s="331">
        <f>23.03+1.03</f>
        <v>24.060000000000002</v>
      </c>
      <c r="AM59" s="314"/>
      <c r="AN59" s="339">
        <f t="shared" si="5"/>
        <v>0</v>
      </c>
      <c r="AO59" s="340">
        <f>23.03+1.03</f>
        <v>24.060000000000002</v>
      </c>
      <c r="AP59" s="324"/>
      <c r="AQ59" s="299">
        <f t="shared" si="69"/>
        <v>0</v>
      </c>
      <c r="AR59" s="223">
        <f>23.03+1.03</f>
        <v>24.060000000000002</v>
      </c>
      <c r="AS59">
        <f t="shared" si="27"/>
        <v>0</v>
      </c>
    </row>
    <row r="60" spans="1:46" ht="15" customHeight="1" x14ac:dyDescent="0.2">
      <c r="A60" s="66">
        <v>48</v>
      </c>
      <c r="B60" s="67" t="s">
        <v>199</v>
      </c>
      <c r="C60" s="189">
        <f t="shared" si="63"/>
        <v>0</v>
      </c>
      <c r="D60" s="189">
        <f>[3]ИК!$C$129</f>
        <v>0</v>
      </c>
      <c r="E60" s="190"/>
      <c r="F60" s="189">
        <f t="shared" si="64"/>
        <v>0</v>
      </c>
      <c r="G60" s="189">
        <f>[3]ИК!$O$129</f>
        <v>0</v>
      </c>
      <c r="H60" s="191"/>
      <c r="I60" s="189">
        <f t="shared" si="65"/>
        <v>0</v>
      </c>
      <c r="J60" s="189">
        <f>[3]ИК!$W$129</f>
        <v>0</v>
      </c>
      <c r="K60" s="191"/>
      <c r="L60" s="189">
        <f t="shared" si="43"/>
        <v>0</v>
      </c>
      <c r="M60" s="189">
        <f>[3]ИК!$S$129</f>
        <v>0</v>
      </c>
      <c r="N60" s="191"/>
      <c r="O60" s="189">
        <f t="shared" si="66"/>
        <v>0</v>
      </c>
      <c r="P60" s="189">
        <f>[3]ИК!$AA$129</f>
        <v>0</v>
      </c>
      <c r="Q60" s="191" t="e">
        <f t="shared" si="2"/>
        <v>#DIV/0!</v>
      </c>
      <c r="R60" s="189">
        <f t="shared" si="67"/>
        <v>0</v>
      </c>
      <c r="S60" s="189">
        <f>[3]ИК!$G$129</f>
        <v>0</v>
      </c>
      <c r="T60" s="191"/>
      <c r="U60" s="189">
        <f t="shared" si="68"/>
        <v>0</v>
      </c>
      <c r="V60" s="189"/>
      <c r="W60" s="191"/>
      <c r="X60" s="222">
        <v>1330</v>
      </c>
      <c r="Y60" s="299"/>
      <c r="Z60" s="308">
        <f>26.09+0.38</f>
        <v>26.47</v>
      </c>
      <c r="AA60" s="309"/>
      <c r="AB60" s="299">
        <f t="shared" si="70"/>
        <v>0</v>
      </c>
      <c r="AC60" s="331"/>
      <c r="AD60" s="310">
        <v>30</v>
      </c>
      <c r="AE60" s="299">
        <v>0</v>
      </c>
      <c r="AF60" s="331">
        <f>23.03+0.3</f>
        <v>23.330000000000002</v>
      </c>
      <c r="AG60" s="336">
        <f>2345-650</f>
        <v>1695</v>
      </c>
      <c r="AH60" s="299">
        <v>0</v>
      </c>
      <c r="AI60" s="299">
        <f>23.03+1.03</f>
        <v>24.060000000000002</v>
      </c>
      <c r="AJ60" s="313">
        <v>1000</v>
      </c>
      <c r="AK60" s="299">
        <v>0</v>
      </c>
      <c r="AL60" s="331">
        <f>23.03+1.03</f>
        <v>24.060000000000002</v>
      </c>
      <c r="AM60" s="314"/>
      <c r="AN60" s="339">
        <f t="shared" si="5"/>
        <v>0</v>
      </c>
      <c r="AO60" s="340">
        <f>23.03+1.03</f>
        <v>24.060000000000002</v>
      </c>
      <c r="AP60" s="324"/>
      <c r="AQ60" s="299">
        <f t="shared" si="69"/>
        <v>0</v>
      </c>
      <c r="AR60" s="223">
        <f>23.03+1.03</f>
        <v>24.060000000000002</v>
      </c>
      <c r="AS60">
        <f t="shared" si="27"/>
        <v>0</v>
      </c>
    </row>
    <row r="61" spans="1:46" ht="15" customHeight="1" x14ac:dyDescent="0.2">
      <c r="A61" s="66">
        <v>49</v>
      </c>
      <c r="B61" s="67" t="s">
        <v>200</v>
      </c>
      <c r="C61" s="189">
        <f t="shared" si="63"/>
        <v>0</v>
      </c>
      <c r="D61" s="189">
        <f>[2]цах!$C$129</f>
        <v>0</v>
      </c>
      <c r="E61" s="190"/>
      <c r="F61" s="189">
        <f t="shared" si="64"/>
        <v>579.33333333333326</v>
      </c>
      <c r="G61" s="189">
        <f>[2]цах!$O$129</f>
        <v>317</v>
      </c>
      <c r="H61" s="191"/>
      <c r="I61" s="189">
        <f t="shared" si="65"/>
        <v>0</v>
      </c>
      <c r="J61" s="189">
        <f>[2]цах!$W$129</f>
        <v>0</v>
      </c>
      <c r="K61" s="191"/>
      <c r="L61" s="189">
        <f t="shared" si="43"/>
        <v>308</v>
      </c>
      <c r="M61" s="189">
        <f>[2]цах!$S$129</f>
        <v>59</v>
      </c>
      <c r="N61" s="191"/>
      <c r="O61" s="189">
        <f t="shared" si="66"/>
        <v>562.83333333333326</v>
      </c>
      <c r="P61" s="189">
        <f>[2]цах!$AA$129</f>
        <v>35</v>
      </c>
      <c r="Q61" s="191">
        <f t="shared" si="2"/>
        <v>6.2</v>
      </c>
      <c r="R61" s="189">
        <f t="shared" si="67"/>
        <v>0</v>
      </c>
      <c r="S61" s="189">
        <f>[2]цах!$G$129</f>
        <v>0</v>
      </c>
      <c r="T61" s="191"/>
      <c r="U61" s="189">
        <f t="shared" si="68"/>
        <v>0</v>
      </c>
      <c r="V61" s="189"/>
      <c r="W61" s="191"/>
      <c r="X61" s="222"/>
      <c r="Y61" s="299">
        <f t="shared" ref="Y61:Y72" si="71">VALUE(X61*Z61/100)</f>
        <v>0</v>
      </c>
      <c r="Z61" s="308">
        <v>26.09</v>
      </c>
      <c r="AA61" s="309">
        <v>2100</v>
      </c>
      <c r="AB61" s="299">
        <v>632</v>
      </c>
      <c r="AC61" s="331">
        <v>18.21</v>
      </c>
      <c r="AD61" s="310"/>
      <c r="AE61" s="299">
        <f t="shared" ref="AE61:AE73" si="72">VALUE(AD61*AF61/100)</f>
        <v>0</v>
      </c>
      <c r="AF61" s="331">
        <f>23.03+1.03</f>
        <v>24.060000000000002</v>
      </c>
      <c r="AG61" s="336">
        <f>50+950</f>
        <v>1000</v>
      </c>
      <c r="AH61" s="299">
        <v>336</v>
      </c>
      <c r="AI61" s="299">
        <f>23.03+1.03</f>
        <v>24.060000000000002</v>
      </c>
      <c r="AJ61" s="313">
        <v>3600</v>
      </c>
      <c r="AK61" s="299">
        <v>614</v>
      </c>
      <c r="AL61" s="331">
        <f>23.03+1.03</f>
        <v>24.060000000000002</v>
      </c>
      <c r="AM61" s="314"/>
      <c r="AN61" s="339">
        <f t="shared" si="5"/>
        <v>0</v>
      </c>
      <c r="AO61" s="340">
        <f>23.03+1.03</f>
        <v>24.060000000000002</v>
      </c>
      <c r="AP61" s="324"/>
      <c r="AQ61" s="299">
        <f t="shared" si="69"/>
        <v>0</v>
      </c>
      <c r="AR61" s="223">
        <f>23.03+1.03</f>
        <v>24.060000000000002</v>
      </c>
      <c r="AS61">
        <f t="shared" si="27"/>
        <v>0</v>
      </c>
    </row>
    <row r="62" spans="1:46" ht="15" customHeight="1" x14ac:dyDescent="0.2">
      <c r="A62" s="66">
        <v>50</v>
      </c>
      <c r="B62" s="92" t="s">
        <v>98</v>
      </c>
      <c r="C62" s="189">
        <f t="shared" si="63"/>
        <v>0</v>
      </c>
      <c r="D62" s="189">
        <v>0</v>
      </c>
      <c r="E62" s="190"/>
      <c r="F62" s="189">
        <f t="shared" si="64"/>
        <v>0</v>
      </c>
      <c r="G62" s="189">
        <f>[4]ЦЕНТР!$O$129</f>
        <v>0</v>
      </c>
      <c r="H62" s="191"/>
      <c r="I62" s="189">
        <f t="shared" si="65"/>
        <v>0</v>
      </c>
      <c r="J62" s="189">
        <f>[4]ЦЕНТР!$W$129</f>
        <v>0</v>
      </c>
      <c r="K62" s="191"/>
      <c r="L62" s="189">
        <f t="shared" si="43"/>
        <v>2453</v>
      </c>
      <c r="M62" s="189">
        <f>[4]ЦЕНТР!$S$129</f>
        <v>2683.6000000000004</v>
      </c>
      <c r="N62" s="191">
        <f t="shared" ref="N62:N69" si="73">ROUND(M62/L62*100,1)</f>
        <v>109.4</v>
      </c>
      <c r="O62" s="189">
        <f t="shared" si="66"/>
        <v>1385.0833333333335</v>
      </c>
      <c r="P62" s="189">
        <f>[4]ЦЕНТР!$AA$129</f>
        <v>220</v>
      </c>
      <c r="Q62" s="191"/>
      <c r="R62" s="189">
        <f t="shared" si="67"/>
        <v>0</v>
      </c>
      <c r="S62" s="189">
        <f>[4]ЦЕНТР!$G$129</f>
        <v>0</v>
      </c>
      <c r="T62" s="191"/>
      <c r="U62" s="189">
        <f t="shared" si="68"/>
        <v>0</v>
      </c>
      <c r="V62" s="189"/>
      <c r="W62" s="191"/>
      <c r="X62" s="222"/>
      <c r="Y62" s="299">
        <f t="shared" si="71"/>
        <v>0</v>
      </c>
      <c r="Z62" s="308">
        <v>26.09</v>
      </c>
      <c r="AA62" s="309"/>
      <c r="AB62" s="299">
        <f t="shared" si="70"/>
        <v>0</v>
      </c>
      <c r="AC62" s="331"/>
      <c r="AD62" s="310"/>
      <c r="AE62" s="299">
        <f t="shared" si="72"/>
        <v>0</v>
      </c>
      <c r="AF62" s="331">
        <v>29.13</v>
      </c>
      <c r="AG62" s="336">
        <v>5423</v>
      </c>
      <c r="AH62" s="299">
        <v>2676</v>
      </c>
      <c r="AI62" s="299">
        <f>29.13-0.01</f>
        <v>29.119999999999997</v>
      </c>
      <c r="AJ62" s="313">
        <v>1808</v>
      </c>
      <c r="AK62" s="299">
        <v>1511</v>
      </c>
      <c r="AL62" s="331">
        <v>29.13</v>
      </c>
      <c r="AM62" s="314"/>
      <c r="AN62" s="339">
        <f t="shared" si="5"/>
        <v>0</v>
      </c>
      <c r="AO62" s="340">
        <v>29.13</v>
      </c>
      <c r="AP62" s="324"/>
      <c r="AQ62" s="299">
        <f t="shared" si="69"/>
        <v>0</v>
      </c>
      <c r="AR62" s="223">
        <v>29.13</v>
      </c>
      <c r="AS62">
        <f t="shared" si="27"/>
        <v>0</v>
      </c>
    </row>
    <row r="63" spans="1:46" ht="15" customHeight="1" x14ac:dyDescent="0.2">
      <c r="A63" s="66">
        <v>51</v>
      </c>
      <c r="B63" s="92" t="s">
        <v>99</v>
      </c>
      <c r="C63" s="189">
        <f t="shared" si="63"/>
        <v>0</v>
      </c>
      <c r="D63" s="189">
        <f>[2]ОПТИМА!$C$129</f>
        <v>0</v>
      </c>
      <c r="E63" s="190"/>
      <c r="F63" s="189">
        <f t="shared" si="64"/>
        <v>0</v>
      </c>
      <c r="G63" s="189">
        <f>[2]ОПТИМА!$O$129</f>
        <v>0</v>
      </c>
      <c r="H63" s="191"/>
      <c r="I63" s="189">
        <f t="shared" si="65"/>
        <v>0</v>
      </c>
      <c r="J63" s="189">
        <f>[2]ОПТИМА!$W$129</f>
        <v>0</v>
      </c>
      <c r="K63" s="191"/>
      <c r="L63" s="189">
        <f t="shared" si="43"/>
        <v>15773.083333333334</v>
      </c>
      <c r="M63" s="189">
        <f>[2]ОПТИМА!$S$129</f>
        <v>16902.589999999997</v>
      </c>
      <c r="N63" s="191">
        <f t="shared" si="73"/>
        <v>107.2</v>
      </c>
      <c r="O63" s="189">
        <f t="shared" si="66"/>
        <v>4553.0833333333339</v>
      </c>
      <c r="P63" s="189">
        <f>[2]ОПТИМА!$AA$129</f>
        <v>792</v>
      </c>
      <c r="Q63" s="191"/>
      <c r="R63" s="189">
        <f t="shared" si="67"/>
        <v>0</v>
      </c>
      <c r="S63" s="189">
        <f>[2]ОПТИМА!$G$129</f>
        <v>0</v>
      </c>
      <c r="T63" s="191"/>
      <c r="U63" s="189">
        <f t="shared" si="68"/>
        <v>0</v>
      </c>
      <c r="V63" s="189"/>
      <c r="W63" s="191"/>
      <c r="X63" s="222"/>
      <c r="Y63" s="299">
        <f t="shared" si="71"/>
        <v>0</v>
      </c>
      <c r="Z63" s="308">
        <v>26.09</v>
      </c>
      <c r="AA63" s="309"/>
      <c r="AB63" s="299">
        <f t="shared" si="70"/>
        <v>0</v>
      </c>
      <c r="AC63" s="331"/>
      <c r="AD63" s="310"/>
      <c r="AE63" s="299">
        <f t="shared" si="72"/>
        <v>0</v>
      </c>
      <c r="AF63" s="331">
        <v>63.51</v>
      </c>
      <c r="AG63" s="336">
        <v>10500</v>
      </c>
      <c r="AH63" s="299">
        <v>17207</v>
      </c>
      <c r="AI63" s="299">
        <f>63.51+0.01</f>
        <v>63.519999999999996</v>
      </c>
      <c r="AJ63" s="313">
        <v>3500</v>
      </c>
      <c r="AK63" s="299">
        <v>4967</v>
      </c>
      <c r="AL63" s="331">
        <v>63.51</v>
      </c>
      <c r="AM63" s="314"/>
      <c r="AN63" s="339">
        <f t="shared" si="5"/>
        <v>0</v>
      </c>
      <c r="AO63" s="340">
        <v>63.51</v>
      </c>
      <c r="AP63" s="324"/>
      <c r="AQ63" s="299">
        <f t="shared" si="69"/>
        <v>0</v>
      </c>
      <c r="AR63" s="223">
        <v>63.51</v>
      </c>
      <c r="AS63">
        <f t="shared" si="27"/>
        <v>0</v>
      </c>
    </row>
    <row r="64" spans="1:46" ht="15" customHeight="1" x14ac:dyDescent="0.2">
      <c r="A64" s="66">
        <v>52</v>
      </c>
      <c r="B64" s="92" t="s">
        <v>103</v>
      </c>
      <c r="C64" s="189">
        <f t="shared" si="63"/>
        <v>0</v>
      </c>
      <c r="D64" s="189">
        <f>[2]зуб!$C$129</f>
        <v>0</v>
      </c>
      <c r="E64" s="190"/>
      <c r="F64" s="189">
        <f t="shared" si="64"/>
        <v>0</v>
      </c>
      <c r="G64" s="189">
        <f>[2]зуб!$O$129</f>
        <v>0</v>
      </c>
      <c r="H64" s="191"/>
      <c r="I64" s="189">
        <f t="shared" si="65"/>
        <v>0</v>
      </c>
      <c r="J64" s="189">
        <f>[2]зуб!$W$129</f>
        <v>0</v>
      </c>
      <c r="K64" s="191"/>
      <c r="L64" s="189">
        <f t="shared" si="43"/>
        <v>8569</v>
      </c>
      <c r="M64" s="189">
        <f>[2]зуб!$S$129</f>
        <v>9100.8799999999992</v>
      </c>
      <c r="N64" s="191">
        <f t="shared" si="73"/>
        <v>106.2</v>
      </c>
      <c r="O64" s="189">
        <f t="shared" si="66"/>
        <v>2906.75</v>
      </c>
      <c r="P64" s="189">
        <f>[2]зуб!$AA$129</f>
        <v>575</v>
      </c>
      <c r="Q64" s="191"/>
      <c r="R64" s="189">
        <f t="shared" si="67"/>
        <v>0</v>
      </c>
      <c r="S64" s="189">
        <f>[2]зуб!$G$129</f>
        <v>0</v>
      </c>
      <c r="T64" s="191"/>
      <c r="U64" s="189">
        <f t="shared" si="68"/>
        <v>0</v>
      </c>
      <c r="V64" s="189"/>
      <c r="W64" s="191"/>
      <c r="X64" s="222"/>
      <c r="Y64" s="299">
        <f t="shared" si="71"/>
        <v>0</v>
      </c>
      <c r="Z64" s="308">
        <v>26.09</v>
      </c>
      <c r="AA64" s="309"/>
      <c r="AB64" s="299">
        <f t="shared" si="70"/>
        <v>0</v>
      </c>
      <c r="AC64" s="331"/>
      <c r="AD64" s="310"/>
      <c r="AE64" s="299">
        <f t="shared" si="72"/>
        <v>0</v>
      </c>
      <c r="AF64" s="331">
        <v>25.81</v>
      </c>
      <c r="AG64" s="336">
        <v>13933</v>
      </c>
      <c r="AH64" s="299">
        <v>9348</v>
      </c>
      <c r="AI64" s="299">
        <v>25.81</v>
      </c>
      <c r="AJ64" s="313">
        <v>4640</v>
      </c>
      <c r="AK64" s="299">
        <v>3171</v>
      </c>
      <c r="AL64" s="331">
        <v>25.81</v>
      </c>
      <c r="AM64" s="314"/>
      <c r="AN64" s="339">
        <f t="shared" si="5"/>
        <v>0</v>
      </c>
      <c r="AO64" s="340">
        <v>25.81</v>
      </c>
      <c r="AP64" s="324"/>
      <c r="AQ64" s="299">
        <f t="shared" si="69"/>
        <v>0</v>
      </c>
      <c r="AR64" s="223">
        <v>25.81</v>
      </c>
      <c r="AS64">
        <f t="shared" si="27"/>
        <v>0</v>
      </c>
    </row>
    <row r="65" spans="1:46" ht="15" customHeight="1" x14ac:dyDescent="0.2">
      <c r="A65" s="66">
        <v>53</v>
      </c>
      <c r="B65" s="92" t="s">
        <v>268</v>
      </c>
      <c r="C65" s="189">
        <f t="shared" si="63"/>
        <v>0</v>
      </c>
      <c r="D65" s="189">
        <f>[2]ПРОЗР!$C$129</f>
        <v>0</v>
      </c>
      <c r="E65" s="190"/>
      <c r="F65" s="189">
        <f t="shared" si="64"/>
        <v>0</v>
      </c>
      <c r="G65" s="189">
        <f>[2]ПРОЗР!$O$129</f>
        <v>0</v>
      </c>
      <c r="H65" s="191"/>
      <c r="I65" s="189">
        <f t="shared" si="65"/>
        <v>0</v>
      </c>
      <c r="J65" s="189">
        <f>[2]ПРОЗР!$W$129</f>
        <v>0</v>
      </c>
      <c r="K65" s="191"/>
      <c r="L65" s="189">
        <f t="shared" si="43"/>
        <v>652.66666666666674</v>
      </c>
      <c r="M65" s="189">
        <f>[2]ПРОЗР!$S$129</f>
        <v>430</v>
      </c>
      <c r="N65" s="191">
        <f t="shared" si="73"/>
        <v>65.900000000000006</v>
      </c>
      <c r="O65" s="189">
        <f t="shared" si="66"/>
        <v>0</v>
      </c>
      <c r="P65" s="189">
        <f>[2]ПРОЗР!$AA$129</f>
        <v>0</v>
      </c>
      <c r="Q65" s="191"/>
      <c r="R65" s="189">
        <f t="shared" si="67"/>
        <v>0</v>
      </c>
      <c r="S65" s="189">
        <f>[2]ПРОЗР!$G$129</f>
        <v>0</v>
      </c>
      <c r="T65" s="191"/>
      <c r="U65" s="189">
        <f t="shared" si="68"/>
        <v>0</v>
      </c>
      <c r="V65" s="189"/>
      <c r="W65" s="191"/>
      <c r="X65" s="222"/>
      <c r="Y65" s="299">
        <f t="shared" si="71"/>
        <v>0</v>
      </c>
      <c r="Z65" s="308">
        <v>26.09</v>
      </c>
      <c r="AA65" s="309"/>
      <c r="AB65" s="299">
        <f t="shared" si="70"/>
        <v>0</v>
      </c>
      <c r="AC65" s="331"/>
      <c r="AD65" s="310"/>
      <c r="AE65" s="299">
        <f t="shared" si="72"/>
        <v>0</v>
      </c>
      <c r="AF65" s="331">
        <v>12.58</v>
      </c>
      <c r="AG65" s="336">
        <v>1550</v>
      </c>
      <c r="AH65" s="299">
        <v>712</v>
      </c>
      <c r="AI65" s="299">
        <f>12.58+0.04</f>
        <v>12.62</v>
      </c>
      <c r="AJ65" s="313">
        <v>0</v>
      </c>
      <c r="AK65" s="299">
        <f>VALUE(AJ65*AL65/100)</f>
        <v>0</v>
      </c>
      <c r="AL65" s="331">
        <v>12.58</v>
      </c>
      <c r="AM65" s="314"/>
      <c r="AN65" s="339">
        <f t="shared" si="5"/>
        <v>0</v>
      </c>
      <c r="AO65" s="340">
        <v>12.58</v>
      </c>
      <c r="AP65" s="324"/>
      <c r="AQ65" s="299">
        <f t="shared" si="69"/>
        <v>0</v>
      </c>
      <c r="AR65" s="223">
        <v>12.58</v>
      </c>
      <c r="AS65">
        <f t="shared" si="27"/>
        <v>0</v>
      </c>
    </row>
    <row r="66" spans="1:46" ht="15" customHeight="1" x14ac:dyDescent="0.2">
      <c r="A66" s="66">
        <v>54</v>
      </c>
      <c r="B66" s="92" t="s">
        <v>180</v>
      </c>
      <c r="C66" s="189">
        <f t="shared" si="63"/>
        <v>0</v>
      </c>
      <c r="D66" s="189">
        <f>[2]КРИСТ!$C$129</f>
        <v>0</v>
      </c>
      <c r="E66" s="190"/>
      <c r="F66" s="189">
        <f t="shared" si="64"/>
        <v>0</v>
      </c>
      <c r="G66" s="189">
        <f>[2]КРИСТ!$O$129</f>
        <v>0</v>
      </c>
      <c r="H66" s="191"/>
      <c r="I66" s="189">
        <f t="shared" si="65"/>
        <v>0</v>
      </c>
      <c r="J66" s="189">
        <f>[2]стдв!$W$129</f>
        <v>0</v>
      </c>
      <c r="K66" s="191"/>
      <c r="L66" s="189">
        <f t="shared" si="43"/>
        <v>2974.5833333333335</v>
      </c>
      <c r="M66" s="189">
        <f>[2]стдв!$S$129</f>
        <v>3131.6900000000005</v>
      </c>
      <c r="N66" s="191">
        <f t="shared" si="73"/>
        <v>105.3</v>
      </c>
      <c r="O66" s="189">
        <f t="shared" si="66"/>
        <v>1987.3333333333333</v>
      </c>
      <c r="P66" s="189">
        <f>[2]стдв!$AA$129</f>
        <v>325</v>
      </c>
      <c r="Q66" s="191"/>
      <c r="R66" s="189">
        <f t="shared" si="67"/>
        <v>0</v>
      </c>
      <c r="S66" s="189">
        <f>[2]стдв!$G$129</f>
        <v>0</v>
      </c>
      <c r="T66" s="191"/>
      <c r="U66" s="189">
        <f t="shared" si="68"/>
        <v>0</v>
      </c>
      <c r="V66" s="189"/>
      <c r="W66" s="191"/>
      <c r="X66" s="222"/>
      <c r="Y66" s="299">
        <f t="shared" si="71"/>
        <v>0</v>
      </c>
      <c r="Z66" s="308">
        <v>26.09</v>
      </c>
      <c r="AA66" s="309"/>
      <c r="AB66" s="299">
        <f t="shared" si="70"/>
        <v>0</v>
      </c>
      <c r="AC66" s="331"/>
      <c r="AD66" s="310"/>
      <c r="AE66" s="299">
        <f t="shared" si="72"/>
        <v>0</v>
      </c>
      <c r="AF66" s="331">
        <v>24.06</v>
      </c>
      <c r="AG66" s="336">
        <v>0</v>
      </c>
      <c r="AH66" s="299">
        <v>3245</v>
      </c>
      <c r="AI66" s="299">
        <v>24.06</v>
      </c>
      <c r="AJ66" s="313">
        <v>1450</v>
      </c>
      <c r="AK66" s="299">
        <v>2168</v>
      </c>
      <c r="AL66" s="331">
        <v>24.06</v>
      </c>
      <c r="AM66" s="314"/>
      <c r="AN66" s="339">
        <f t="shared" si="5"/>
        <v>0</v>
      </c>
      <c r="AO66" s="340">
        <v>24.06</v>
      </c>
      <c r="AP66" s="324"/>
      <c r="AQ66" s="299">
        <f t="shared" si="69"/>
        <v>0</v>
      </c>
      <c r="AR66" s="223">
        <v>24.06</v>
      </c>
      <c r="AS66">
        <f t="shared" si="27"/>
        <v>0</v>
      </c>
    </row>
    <row r="67" spans="1:46" ht="15" customHeight="1" x14ac:dyDescent="0.2">
      <c r="A67" s="66">
        <v>55</v>
      </c>
      <c r="B67" s="92" t="s">
        <v>112</v>
      </c>
      <c r="C67" s="189">
        <f t="shared" si="63"/>
        <v>0</v>
      </c>
      <c r="D67" s="189">
        <f>[2]КРИСТ!$C$129</f>
        <v>0</v>
      </c>
      <c r="E67" s="190"/>
      <c r="F67" s="189">
        <f t="shared" si="64"/>
        <v>0</v>
      </c>
      <c r="G67" s="189">
        <f>[2]КРИСТ!$O$129</f>
        <v>0</v>
      </c>
      <c r="H67" s="191"/>
      <c r="I67" s="189">
        <f t="shared" si="65"/>
        <v>0</v>
      </c>
      <c r="J67" s="189">
        <f>[2]КРИСТ!$W$129</f>
        <v>0</v>
      </c>
      <c r="K67" s="191"/>
      <c r="L67" s="189">
        <f t="shared" si="43"/>
        <v>22678.333333333332</v>
      </c>
      <c r="M67" s="189">
        <f>[2]КРИСТ!$S$129</f>
        <v>25334.3</v>
      </c>
      <c r="N67" s="191">
        <f t="shared" si="73"/>
        <v>111.7</v>
      </c>
      <c r="O67" s="189">
        <f t="shared" si="66"/>
        <v>6124.25</v>
      </c>
      <c r="P67" s="189">
        <f>[2]КРИСТ!$AA$129</f>
        <v>787</v>
      </c>
      <c r="Q67" s="191"/>
      <c r="R67" s="189">
        <f t="shared" si="67"/>
        <v>0</v>
      </c>
      <c r="S67" s="189">
        <f>[2]КРИСТ!$G$129</f>
        <v>0</v>
      </c>
      <c r="T67" s="191"/>
      <c r="U67" s="189">
        <f t="shared" si="68"/>
        <v>0</v>
      </c>
      <c r="V67" s="189"/>
      <c r="W67" s="191"/>
      <c r="X67" s="222"/>
      <c r="Y67" s="299">
        <f t="shared" si="71"/>
        <v>0</v>
      </c>
      <c r="Z67" s="308">
        <v>26.09</v>
      </c>
      <c r="AA67" s="309"/>
      <c r="AB67" s="299">
        <f t="shared" si="70"/>
        <v>0</v>
      </c>
      <c r="AC67" s="331"/>
      <c r="AD67" s="310"/>
      <c r="AE67" s="299">
        <f t="shared" si="72"/>
        <v>0</v>
      </c>
      <c r="AF67" s="331">
        <v>61.01</v>
      </c>
      <c r="AG67" s="336">
        <v>23795</v>
      </c>
      <c r="AH67" s="299">
        <v>24740</v>
      </c>
      <c r="AI67" s="299">
        <v>61.01</v>
      </c>
      <c r="AJ67" s="313">
        <v>7089</v>
      </c>
      <c r="AK67" s="299">
        <v>6681</v>
      </c>
      <c r="AL67" s="331">
        <v>61.01</v>
      </c>
      <c r="AM67" s="314"/>
      <c r="AN67" s="339">
        <f t="shared" si="5"/>
        <v>0</v>
      </c>
      <c r="AO67" s="340">
        <v>61.01</v>
      </c>
      <c r="AP67" s="324"/>
      <c r="AQ67" s="299">
        <f t="shared" si="69"/>
        <v>0</v>
      </c>
      <c r="AR67" s="223">
        <v>61.01</v>
      </c>
      <c r="AS67">
        <f t="shared" si="27"/>
        <v>0</v>
      </c>
    </row>
    <row r="68" spans="1:46" ht="15" customHeight="1" x14ac:dyDescent="0.2">
      <c r="A68" s="66">
        <v>56</v>
      </c>
      <c r="B68" s="67" t="s">
        <v>134</v>
      </c>
      <c r="C68" s="189">
        <f t="shared" si="63"/>
        <v>0</v>
      </c>
      <c r="D68" s="189">
        <f>[2]чародей!$C$129</f>
        <v>0</v>
      </c>
      <c r="E68" s="190"/>
      <c r="F68" s="189">
        <f t="shared" si="64"/>
        <v>0</v>
      </c>
      <c r="G68" s="189">
        <f>[2]чародей!$O$129</f>
        <v>0</v>
      </c>
      <c r="H68" s="191"/>
      <c r="I68" s="189">
        <f t="shared" si="65"/>
        <v>0</v>
      </c>
      <c r="J68" s="189">
        <f>[2]чародей!$W$129</f>
        <v>0</v>
      </c>
      <c r="K68" s="191"/>
      <c r="L68" s="189">
        <f t="shared" si="43"/>
        <v>11049.5</v>
      </c>
      <c r="M68" s="189">
        <f>[2]чародей!$S$129</f>
        <v>11930.91</v>
      </c>
      <c r="N68" s="191">
        <f t="shared" si="73"/>
        <v>108</v>
      </c>
      <c r="O68" s="189">
        <f t="shared" si="66"/>
        <v>4141.5</v>
      </c>
      <c r="P68" s="189">
        <f>[2]чародей!$AA$129</f>
        <v>414</v>
      </c>
      <c r="Q68" s="191"/>
      <c r="R68" s="189">
        <f t="shared" si="67"/>
        <v>0</v>
      </c>
      <c r="S68" s="189">
        <f>[2]чародей!$G$129</f>
        <v>0</v>
      </c>
      <c r="T68" s="191"/>
      <c r="U68" s="189">
        <f t="shared" si="68"/>
        <v>0</v>
      </c>
      <c r="V68" s="189"/>
      <c r="W68" s="191"/>
      <c r="X68" s="222"/>
      <c r="Y68" s="299">
        <f t="shared" si="71"/>
        <v>0</v>
      </c>
      <c r="Z68" s="308">
        <v>26.09</v>
      </c>
      <c r="AA68" s="309"/>
      <c r="AB68" s="299">
        <f t="shared" si="70"/>
        <v>0</v>
      </c>
      <c r="AC68" s="331"/>
      <c r="AD68" s="310"/>
      <c r="AE68" s="299">
        <f t="shared" si="72"/>
        <v>0</v>
      </c>
      <c r="AF68" s="331">
        <v>60.2</v>
      </c>
      <c r="AG68" s="336">
        <v>10647</v>
      </c>
      <c r="AH68" s="299">
        <v>12054</v>
      </c>
      <c r="AI68" s="299">
        <f>60.2</f>
        <v>60.2</v>
      </c>
      <c r="AJ68" s="313">
        <v>3172</v>
      </c>
      <c r="AK68" s="299">
        <v>4518</v>
      </c>
      <c r="AL68" s="331">
        <v>60.2</v>
      </c>
      <c r="AM68" s="314"/>
      <c r="AN68" s="339">
        <f t="shared" si="5"/>
        <v>0</v>
      </c>
      <c r="AO68" s="340">
        <v>60.2</v>
      </c>
      <c r="AP68" s="324"/>
      <c r="AQ68" s="299">
        <f t="shared" si="69"/>
        <v>0</v>
      </c>
      <c r="AR68" s="223">
        <v>60.2</v>
      </c>
      <c r="AS68">
        <f t="shared" si="27"/>
        <v>0</v>
      </c>
    </row>
    <row r="69" spans="1:46" ht="15" customHeight="1" x14ac:dyDescent="0.2">
      <c r="A69" s="66">
        <v>57</v>
      </c>
      <c r="B69" s="67" t="s">
        <v>135</v>
      </c>
      <c r="C69" s="189">
        <f t="shared" si="63"/>
        <v>0</v>
      </c>
      <c r="D69" s="189">
        <f>[2]эстетика!$C$129</f>
        <v>0</v>
      </c>
      <c r="E69" s="190"/>
      <c r="F69" s="189">
        <f t="shared" si="64"/>
        <v>0</v>
      </c>
      <c r="G69" s="189">
        <f>[2]эстетика!$O$129</f>
        <v>0</v>
      </c>
      <c r="H69" s="191"/>
      <c r="I69" s="189">
        <f t="shared" si="65"/>
        <v>0</v>
      </c>
      <c r="J69" s="189">
        <f>[2]эстетика!$W$129</f>
        <v>0</v>
      </c>
      <c r="K69" s="191"/>
      <c r="L69" s="189">
        <f t="shared" si="43"/>
        <v>3114.8333333333335</v>
      </c>
      <c r="M69" s="189">
        <f>[2]эстетика!$S$129</f>
        <v>3243.2299999999996</v>
      </c>
      <c r="N69" s="191">
        <f t="shared" si="73"/>
        <v>104.1</v>
      </c>
      <c r="O69" s="189">
        <f t="shared" si="66"/>
        <v>2163.333333333333</v>
      </c>
      <c r="P69" s="189">
        <f>[2]эстетика!$AA$129</f>
        <v>141</v>
      </c>
      <c r="Q69" s="191"/>
      <c r="R69" s="189">
        <f t="shared" si="67"/>
        <v>0</v>
      </c>
      <c r="S69" s="189">
        <f>[2]эстетика!$G$129</f>
        <v>0</v>
      </c>
      <c r="T69" s="191"/>
      <c r="U69" s="189">
        <f t="shared" si="68"/>
        <v>0</v>
      </c>
      <c r="V69" s="189"/>
      <c r="W69" s="191"/>
      <c r="X69" s="222"/>
      <c r="Y69" s="299">
        <f t="shared" si="71"/>
        <v>0</v>
      </c>
      <c r="Z69" s="308">
        <v>26.09</v>
      </c>
      <c r="AA69" s="309"/>
      <c r="AB69" s="299">
        <f t="shared" si="70"/>
        <v>0</v>
      </c>
      <c r="AC69" s="331"/>
      <c r="AD69" s="310"/>
      <c r="AE69" s="299">
        <f t="shared" si="72"/>
        <v>0</v>
      </c>
      <c r="AF69" s="331">
        <v>57.34</v>
      </c>
      <c r="AG69" s="336">
        <v>4130</v>
      </c>
      <c r="AH69" s="299">
        <v>3398</v>
      </c>
      <c r="AI69" s="299">
        <v>57.34</v>
      </c>
      <c r="AJ69" s="313">
        <v>1231</v>
      </c>
      <c r="AK69" s="299">
        <v>2360</v>
      </c>
      <c r="AL69" s="331">
        <v>57.34</v>
      </c>
      <c r="AM69" s="314"/>
      <c r="AN69" s="339">
        <f t="shared" si="5"/>
        <v>0</v>
      </c>
      <c r="AO69" s="340">
        <v>57.34</v>
      </c>
      <c r="AP69" s="324"/>
      <c r="AQ69" s="299">
        <f t="shared" si="69"/>
        <v>0</v>
      </c>
      <c r="AR69" s="223">
        <v>57.34</v>
      </c>
      <c r="AS69">
        <f t="shared" si="27"/>
        <v>0</v>
      </c>
    </row>
    <row r="70" spans="1:46" ht="15" customHeight="1" x14ac:dyDescent="0.2">
      <c r="A70" s="66">
        <v>58</v>
      </c>
      <c r="B70" s="67" t="s">
        <v>179</v>
      </c>
      <c r="C70" s="189">
        <f t="shared" si="63"/>
        <v>0</v>
      </c>
      <c r="D70" s="189">
        <f>[3]АЗИМУТ!$C$129</f>
        <v>0</v>
      </c>
      <c r="E70" s="190"/>
      <c r="F70" s="189">
        <f t="shared" si="64"/>
        <v>0</v>
      </c>
      <c r="G70" s="189">
        <f>[3]АЗИМУТ!$O$129</f>
        <v>0</v>
      </c>
      <c r="H70" s="191"/>
      <c r="I70" s="189">
        <f t="shared" si="65"/>
        <v>0</v>
      </c>
      <c r="J70" s="189">
        <f>[3]АЗИМУТ!$W$129</f>
        <v>0</v>
      </c>
      <c r="K70" s="191"/>
      <c r="L70" s="189">
        <f t="shared" si="43"/>
        <v>0</v>
      </c>
      <c r="M70" s="189">
        <f>[3]АЗИМУТ!$S$129</f>
        <v>0</v>
      </c>
      <c r="N70" s="191"/>
      <c r="O70" s="189">
        <f t="shared" si="66"/>
        <v>0</v>
      </c>
      <c r="P70" s="189">
        <f>[3]АЗИМУТ!$AA$129</f>
        <v>0</v>
      </c>
      <c r="Q70" s="191"/>
      <c r="R70" s="189">
        <f t="shared" si="67"/>
        <v>0</v>
      </c>
      <c r="S70" s="189">
        <f>[3]АЗИМУТ!$G$129</f>
        <v>0</v>
      </c>
      <c r="T70" s="191"/>
      <c r="U70" s="189">
        <f t="shared" si="68"/>
        <v>0</v>
      </c>
      <c r="V70" s="189"/>
      <c r="W70" s="191"/>
      <c r="X70" s="222"/>
      <c r="Y70" s="299">
        <f t="shared" si="71"/>
        <v>0</v>
      </c>
      <c r="Z70" s="308">
        <v>26.09</v>
      </c>
      <c r="AA70" s="309"/>
      <c r="AB70" s="299">
        <f t="shared" si="70"/>
        <v>0</v>
      </c>
      <c r="AC70" s="331"/>
      <c r="AD70" s="310"/>
      <c r="AE70" s="299">
        <f t="shared" si="72"/>
        <v>0</v>
      </c>
      <c r="AF70" s="331">
        <f>23.03+1.03</f>
        <v>24.060000000000002</v>
      </c>
      <c r="AG70" s="336">
        <v>0</v>
      </c>
      <c r="AH70" s="299">
        <f>AG70*AI70/100</f>
        <v>0</v>
      </c>
      <c r="AI70" s="299">
        <f>23.03+1.03</f>
        <v>24.060000000000002</v>
      </c>
      <c r="AJ70" s="313">
        <v>640</v>
      </c>
      <c r="AK70" s="299">
        <v>0</v>
      </c>
      <c r="AL70" s="331">
        <f>23.03+1.03</f>
        <v>24.060000000000002</v>
      </c>
      <c r="AM70" s="314"/>
      <c r="AN70" s="339">
        <f t="shared" si="5"/>
        <v>0</v>
      </c>
      <c r="AO70" s="340">
        <f>23.03+1.03</f>
        <v>24.060000000000002</v>
      </c>
      <c r="AP70" s="324"/>
      <c r="AQ70" s="299">
        <f t="shared" si="69"/>
        <v>0</v>
      </c>
      <c r="AR70" s="223">
        <f>23.03+1.03</f>
        <v>24.060000000000002</v>
      </c>
      <c r="AS70">
        <f t="shared" si="27"/>
        <v>0</v>
      </c>
    </row>
    <row r="71" spans="1:46" ht="15" customHeight="1" x14ac:dyDescent="0.2">
      <c r="A71" s="67">
        <v>59</v>
      </c>
      <c r="B71" s="67" t="s">
        <v>216</v>
      </c>
      <c r="C71" s="189">
        <f t="shared" si="63"/>
        <v>0</v>
      </c>
      <c r="D71" s="189">
        <f>[3]БОБ!$C$129</f>
        <v>0</v>
      </c>
      <c r="E71" s="190"/>
      <c r="F71" s="189">
        <f t="shared" si="64"/>
        <v>43.083333333333329</v>
      </c>
      <c r="G71" s="189">
        <f>[3]БОБ!$O$129</f>
        <v>17</v>
      </c>
      <c r="H71" s="191"/>
      <c r="I71" s="189">
        <f t="shared" si="65"/>
        <v>0</v>
      </c>
      <c r="J71" s="189">
        <f>[3]БОБ!$W$129</f>
        <v>0</v>
      </c>
      <c r="K71" s="191"/>
      <c r="L71" s="189">
        <f t="shared" si="43"/>
        <v>235.58333333333334</v>
      </c>
      <c r="M71" s="189">
        <f>[3]БОБ!$S$129</f>
        <v>202.20999999999998</v>
      </c>
      <c r="N71" s="191">
        <f>ROUND(M71/L71*100,1)</f>
        <v>85.8</v>
      </c>
      <c r="O71" s="189">
        <f t="shared" si="66"/>
        <v>59.583333333333336</v>
      </c>
      <c r="P71" s="189">
        <f>[3]БОБ!$AA$129</f>
        <v>37</v>
      </c>
      <c r="Q71" s="191">
        <f>ROUND(P71/O71*100,1)</f>
        <v>62.1</v>
      </c>
      <c r="R71" s="189">
        <f t="shared" si="67"/>
        <v>0</v>
      </c>
      <c r="S71" s="189">
        <f>[3]БОБ!$G$129</f>
        <v>0</v>
      </c>
      <c r="T71" s="191"/>
      <c r="U71" s="189">
        <f t="shared" si="68"/>
        <v>0</v>
      </c>
      <c r="V71" s="189"/>
      <c r="W71" s="191"/>
      <c r="X71" s="222"/>
      <c r="Y71" s="299">
        <f t="shared" si="71"/>
        <v>0</v>
      </c>
      <c r="Z71" s="308">
        <v>26.09</v>
      </c>
      <c r="AA71" s="309">
        <v>5000</v>
      </c>
      <c r="AB71" s="299">
        <v>47</v>
      </c>
      <c r="AC71" s="331"/>
      <c r="AD71" s="310"/>
      <c r="AE71" s="299">
        <f t="shared" si="72"/>
        <v>0</v>
      </c>
      <c r="AF71" s="331">
        <v>1.17</v>
      </c>
      <c r="AG71" s="336">
        <v>8232</v>
      </c>
      <c r="AH71" s="299">
        <v>257</v>
      </c>
      <c r="AI71" s="299">
        <v>1.17</v>
      </c>
      <c r="AJ71" s="313">
        <v>7200</v>
      </c>
      <c r="AK71" s="299">
        <v>65</v>
      </c>
      <c r="AL71" s="331">
        <v>1.17</v>
      </c>
      <c r="AM71" s="314"/>
      <c r="AN71" s="339">
        <f>VALUE(AM71*AO71/100)</f>
        <v>0</v>
      </c>
      <c r="AO71" s="340">
        <v>1.17</v>
      </c>
      <c r="AP71" s="324"/>
      <c r="AQ71" s="299">
        <f t="shared" si="69"/>
        <v>0</v>
      </c>
      <c r="AR71" s="223">
        <v>1.17</v>
      </c>
      <c r="AS71">
        <f t="shared" si="27"/>
        <v>0</v>
      </c>
    </row>
    <row r="72" spans="1:46" ht="15" customHeight="1" x14ac:dyDescent="0.2">
      <c r="A72" s="67">
        <v>60</v>
      </c>
      <c r="B72" s="67" t="s">
        <v>217</v>
      </c>
      <c r="C72" s="189">
        <f t="shared" si="63"/>
        <v>0</v>
      </c>
      <c r="D72" s="189">
        <f>[3]УзШ!$C$129</f>
        <v>0</v>
      </c>
      <c r="E72" s="190"/>
      <c r="F72" s="189">
        <f t="shared" si="64"/>
        <v>1764.5833333333333</v>
      </c>
      <c r="G72" s="189">
        <f>[3]УзШ!$O$129</f>
        <v>1305</v>
      </c>
      <c r="H72" s="191">
        <f>ROUND(G72/F72*100,1)</f>
        <v>74</v>
      </c>
      <c r="I72" s="189">
        <f t="shared" si="65"/>
        <v>0</v>
      </c>
      <c r="J72" s="189">
        <f>[3]УзШ!$W$129</f>
        <v>0</v>
      </c>
      <c r="K72" s="191"/>
      <c r="L72" s="189">
        <f t="shared" si="43"/>
        <v>6853.916666666667</v>
      </c>
      <c r="M72" s="189">
        <f>[3]УзШ!$S$129</f>
        <v>6218.5599999999995</v>
      </c>
      <c r="N72" s="191">
        <f>ROUND(M72/L72*100,1)</f>
        <v>90.7</v>
      </c>
      <c r="O72" s="189">
        <f t="shared" si="66"/>
        <v>1844.3333333333333</v>
      </c>
      <c r="P72" s="189">
        <f>[3]УзШ!$AA$129</f>
        <v>1161</v>
      </c>
      <c r="Q72" s="191">
        <f>ROUND(P72/O72*100,1)</f>
        <v>62.9</v>
      </c>
      <c r="R72" s="189">
        <f t="shared" si="67"/>
        <v>0</v>
      </c>
      <c r="S72" s="189">
        <f>[3]УзШ!$G$129</f>
        <v>0</v>
      </c>
      <c r="T72" s="191"/>
      <c r="U72" s="189">
        <f t="shared" si="68"/>
        <v>0</v>
      </c>
      <c r="V72" s="189"/>
      <c r="W72" s="191"/>
      <c r="X72" s="222"/>
      <c r="Y72" s="299">
        <f t="shared" si="71"/>
        <v>0</v>
      </c>
      <c r="Z72" s="308">
        <v>26.09</v>
      </c>
      <c r="AA72" s="309">
        <v>3000</v>
      </c>
      <c r="AB72" s="299">
        <v>1925</v>
      </c>
      <c r="AC72" s="331">
        <v>33.54</v>
      </c>
      <c r="AD72" s="310"/>
      <c r="AE72" s="299">
        <f t="shared" si="72"/>
        <v>0</v>
      </c>
      <c r="AF72" s="331">
        <v>48.37</v>
      </c>
      <c r="AG72" s="336">
        <v>8665</v>
      </c>
      <c r="AH72" s="299">
        <v>7477</v>
      </c>
      <c r="AI72" s="299">
        <v>48.37</v>
      </c>
      <c r="AJ72" s="313">
        <v>5505</v>
      </c>
      <c r="AK72" s="299">
        <v>2012</v>
      </c>
      <c r="AL72" s="331">
        <v>48.37</v>
      </c>
      <c r="AM72" s="314"/>
      <c r="AN72" s="339">
        <f>VALUE(AM72*AO72/100)</f>
        <v>0</v>
      </c>
      <c r="AO72" s="340">
        <v>48.37</v>
      </c>
      <c r="AP72" s="324"/>
      <c r="AQ72" s="299">
        <f t="shared" si="69"/>
        <v>0</v>
      </c>
      <c r="AR72" s="223">
        <v>48.37</v>
      </c>
      <c r="AS72">
        <f t="shared" si="27"/>
        <v>0</v>
      </c>
    </row>
    <row r="73" spans="1:46" ht="15" customHeight="1" x14ac:dyDescent="0.2">
      <c r="A73" s="67">
        <v>61</v>
      </c>
      <c r="B73" s="67" t="s">
        <v>215</v>
      </c>
      <c r="C73" s="189">
        <f t="shared" si="63"/>
        <v>1149.5</v>
      </c>
      <c r="D73" s="189">
        <f>[2]НЭС!$C$129</f>
        <v>731</v>
      </c>
      <c r="E73" s="190">
        <f>ROUND(D73/C73*100,1)</f>
        <v>63.6</v>
      </c>
      <c r="F73" s="189">
        <f t="shared" si="64"/>
        <v>0</v>
      </c>
      <c r="G73" s="189">
        <f>[2]НЭС!$O$129</f>
        <v>0</v>
      </c>
      <c r="H73" s="191"/>
      <c r="I73" s="189">
        <f t="shared" si="65"/>
        <v>0</v>
      </c>
      <c r="J73" s="189">
        <f>[2]НЭС!$W$129</f>
        <v>0</v>
      </c>
      <c r="K73" s="191"/>
      <c r="L73" s="189">
        <f t="shared" si="43"/>
        <v>842.41666666666663</v>
      </c>
      <c r="M73" s="189">
        <f>[2]НЭС!$S$129</f>
        <v>427</v>
      </c>
      <c r="N73" s="191"/>
      <c r="O73" s="189">
        <f t="shared" si="66"/>
        <v>0</v>
      </c>
      <c r="P73" s="189">
        <f>[2]НЭС!$AA$129</f>
        <v>0</v>
      </c>
      <c r="Q73" s="191"/>
      <c r="R73" s="189">
        <f t="shared" si="67"/>
        <v>0</v>
      </c>
      <c r="S73" s="189">
        <f>[2]НЭС!$G$129</f>
        <v>0</v>
      </c>
      <c r="T73" s="191"/>
      <c r="U73" s="189">
        <f t="shared" si="68"/>
        <v>3102.9166666666665</v>
      </c>
      <c r="V73" s="189">
        <f>[2]НЭС!$K$129</f>
        <v>2336</v>
      </c>
      <c r="W73" s="191">
        <f>ROUND(V73/U73*100,1)</f>
        <v>75.3</v>
      </c>
      <c r="X73" s="248">
        <v>4000</v>
      </c>
      <c r="Y73" s="299">
        <v>1254</v>
      </c>
      <c r="Z73" s="308">
        <f>26.09+0.31</f>
        <v>26.4</v>
      </c>
      <c r="AA73" s="316"/>
      <c r="AB73" s="299">
        <v>0</v>
      </c>
      <c r="AC73" s="331"/>
      <c r="AD73" s="318"/>
      <c r="AE73" s="299">
        <f t="shared" si="72"/>
        <v>0</v>
      </c>
      <c r="AF73" s="331">
        <v>24.06</v>
      </c>
      <c r="AG73" s="338">
        <v>5000</v>
      </c>
      <c r="AH73" s="299">
        <v>919</v>
      </c>
      <c r="AI73" s="299">
        <f>23.03+1.03</f>
        <v>24.060000000000002</v>
      </c>
      <c r="AJ73" s="321"/>
      <c r="AK73" s="299">
        <v>0</v>
      </c>
      <c r="AL73" s="331">
        <v>24.06</v>
      </c>
      <c r="AM73" s="322"/>
      <c r="AN73" s="339">
        <f>VALUE(AM73*AO73/100)</f>
        <v>0</v>
      </c>
      <c r="AO73" s="340">
        <f>23.03+1.03</f>
        <v>24.060000000000002</v>
      </c>
      <c r="AP73" s="328">
        <v>10762</v>
      </c>
      <c r="AQ73" s="299">
        <v>3385</v>
      </c>
      <c r="AR73" s="223">
        <f>23.03+1.03</f>
        <v>24.060000000000002</v>
      </c>
      <c r="AS73">
        <f t="shared" si="27"/>
        <v>0</v>
      </c>
    </row>
    <row r="74" spans="1:46" ht="15" x14ac:dyDescent="0.25">
      <c r="A74" s="1"/>
      <c r="B74" s="94" t="s">
        <v>136</v>
      </c>
      <c r="C74" s="194">
        <f>C6+C16+C26+C34+C42+C49+C57</f>
        <v>365990.16666666669</v>
      </c>
      <c r="D74" s="194">
        <f>D6+D16+D26+D34+D42+D49+D57</f>
        <v>330046</v>
      </c>
      <c r="E74" s="203">
        <f>ROUND(D74/AA74*100,1)</f>
        <v>72.400000000000006</v>
      </c>
      <c r="F74" s="194">
        <f>F6+F16+F26+F34+F42+F49+F57</f>
        <v>139887.91666666669</v>
      </c>
      <c r="G74" s="194">
        <f>G6+G16+G26+G34+G42+G49+G57</f>
        <v>106856</v>
      </c>
      <c r="H74" s="196">
        <f>ROUND(G74/F74*100,1)</f>
        <v>76.400000000000006</v>
      </c>
      <c r="I74" s="194">
        <f>I6+I16+I26+I34+I42+I49+I57</f>
        <v>50725.583333333336</v>
      </c>
      <c r="J74" s="194">
        <f>J6+J16+J26+J34+J42+J49+J57</f>
        <v>29051</v>
      </c>
      <c r="K74" s="196">
        <f>ROUND(J74/I74*100,1)</f>
        <v>57.3</v>
      </c>
      <c r="L74" s="194">
        <f>L6+L16+L26+L34+L42+L49+L57</f>
        <v>1103558.5</v>
      </c>
      <c r="M74" s="194">
        <f>M6+M16+M26+M34+M42+M49+M57</f>
        <v>1047796.42</v>
      </c>
      <c r="N74" s="196">
        <f>ROUND(M74/L74*100,1)</f>
        <v>94.9</v>
      </c>
      <c r="O74" s="194">
        <f>O6+O16+O26+O34+O42+O49+O57</f>
        <v>289678.58333333337</v>
      </c>
      <c r="P74" s="194">
        <f>P6+P16+P26+P34+P42+P49+P57</f>
        <v>208097.99</v>
      </c>
      <c r="Q74" s="196">
        <f>ROUND(P74/O74*100,1)</f>
        <v>71.8</v>
      </c>
      <c r="R74" s="194">
        <f>R6+R16+R26+R34+R42+R49+R57</f>
        <v>53362.833333333336</v>
      </c>
      <c r="S74" s="194">
        <f>S6+S16+S26+S34+S42+S49+S57</f>
        <v>45931</v>
      </c>
      <c r="T74" s="196">
        <f>ROUND(S74/R74*100,1)</f>
        <v>86.1</v>
      </c>
      <c r="U74" s="194">
        <f>U6+U16+U26+U34+U42+U49+U57</f>
        <v>4547.1000000000004</v>
      </c>
      <c r="V74" s="194">
        <f>V6+V16+V26+V34+V42+V49+V57</f>
        <v>3581</v>
      </c>
      <c r="W74" s="196">
        <f>ROUND(V74/U74*100,1)</f>
        <v>78.8</v>
      </c>
      <c r="X74" s="194">
        <f t="shared" ref="X74:AR74" si="74">X6+X16+X26+X34+X42+X49+X57</f>
        <v>1266642</v>
      </c>
      <c r="Y74" s="194">
        <f t="shared" si="74"/>
        <v>399262</v>
      </c>
      <c r="Z74" s="194">
        <f t="shared" si="74"/>
        <v>1554.8200000000002</v>
      </c>
      <c r="AA74" s="194">
        <f t="shared" si="74"/>
        <v>455723</v>
      </c>
      <c r="AB74" s="194">
        <f t="shared" si="74"/>
        <v>152605</v>
      </c>
      <c r="AC74" s="194">
        <f t="shared" si="74"/>
        <v>1371.38</v>
      </c>
      <c r="AD74" s="194">
        <f t="shared" si="74"/>
        <v>215735</v>
      </c>
      <c r="AE74" s="194">
        <f t="shared" si="74"/>
        <v>55337</v>
      </c>
      <c r="AF74" s="194">
        <f t="shared" si="74"/>
        <v>1712.1887587393785</v>
      </c>
      <c r="AG74" s="194">
        <f t="shared" si="74"/>
        <v>2740017</v>
      </c>
      <c r="AH74" s="194">
        <f t="shared" si="74"/>
        <v>1213922</v>
      </c>
      <c r="AI74" s="194">
        <f t="shared" si="74"/>
        <v>1736.9396104387292</v>
      </c>
      <c r="AJ74" s="194">
        <f t="shared" si="74"/>
        <v>1141155</v>
      </c>
      <c r="AK74" s="194">
        <f t="shared" si="74"/>
        <v>316013</v>
      </c>
      <c r="AL74" s="194">
        <f t="shared" si="74"/>
        <v>1733.1103673536486</v>
      </c>
      <c r="AM74" s="194">
        <f t="shared" si="74"/>
        <v>169124</v>
      </c>
      <c r="AN74" s="194">
        <f t="shared" si="74"/>
        <v>58214</v>
      </c>
      <c r="AO74" s="194" t="e">
        <f t="shared" si="74"/>
        <v>#DIV/0!</v>
      </c>
      <c r="AP74" s="194">
        <f t="shared" si="74"/>
        <v>19172</v>
      </c>
      <c r="AQ74" s="194">
        <f t="shared" si="74"/>
        <v>4956</v>
      </c>
      <c r="AR74" s="194">
        <f t="shared" si="74"/>
        <v>1664.5100000000002</v>
      </c>
      <c r="AS74">
        <f t="shared" si="27"/>
        <v>98655.666666666657</v>
      </c>
      <c r="AT74">
        <f t="shared" si="28"/>
        <v>46.556879652123385</v>
      </c>
    </row>
    <row r="75" spans="1:46" x14ac:dyDescent="0.2">
      <c r="AH75" s="90"/>
      <c r="AI75" s="90"/>
      <c r="AJ75" s="90"/>
      <c r="AK75" s="90"/>
      <c r="AQ75" s="263"/>
    </row>
    <row r="76" spans="1:46" x14ac:dyDescent="0.2">
      <c r="AQ76" s="263"/>
    </row>
    <row r="77" spans="1:46" x14ac:dyDescent="0.2">
      <c r="AQ77" s="263"/>
    </row>
    <row r="78" spans="1:46" x14ac:dyDescent="0.2">
      <c r="AQ78" s="263"/>
    </row>
    <row r="79" spans="1:46" x14ac:dyDescent="0.2">
      <c r="AQ79" s="263"/>
    </row>
    <row r="80" spans="1:46" x14ac:dyDescent="0.2">
      <c r="AQ80" s="263"/>
    </row>
    <row r="81" spans="43:43" x14ac:dyDescent="0.2">
      <c r="AQ81" s="263"/>
    </row>
    <row r="82" spans="43:43" x14ac:dyDescent="0.2">
      <c r="AQ82" s="263"/>
    </row>
    <row r="83" spans="43:43" x14ac:dyDescent="0.2">
      <c r="AQ83" s="263"/>
    </row>
    <row r="84" spans="43:43" x14ac:dyDescent="0.2">
      <c r="AQ84" s="263"/>
    </row>
    <row r="85" spans="43:43" x14ac:dyDescent="0.2">
      <c r="AQ85" s="263"/>
    </row>
    <row r="86" spans="43:43" x14ac:dyDescent="0.2">
      <c r="AQ86" s="263"/>
    </row>
    <row r="87" spans="43:43" x14ac:dyDescent="0.2">
      <c r="AQ87" s="263"/>
    </row>
    <row r="88" spans="43:43" x14ac:dyDescent="0.2">
      <c r="AQ88" s="263"/>
    </row>
    <row r="89" spans="43:43" x14ac:dyDescent="0.2">
      <c r="AQ89" s="263"/>
    </row>
    <row r="90" spans="43:43" x14ac:dyDescent="0.2">
      <c r="AQ90" s="263"/>
    </row>
    <row r="91" spans="43:43" x14ac:dyDescent="0.2">
      <c r="AQ91" s="263"/>
    </row>
    <row r="92" spans="43:43" x14ac:dyDescent="0.2">
      <c r="AQ92" s="263"/>
    </row>
    <row r="93" spans="43:43" x14ac:dyDescent="0.2">
      <c r="AQ93" s="263"/>
    </row>
    <row r="94" spans="43:43" x14ac:dyDescent="0.2">
      <c r="AQ94" s="263"/>
    </row>
    <row r="95" spans="43:43" x14ac:dyDescent="0.2">
      <c r="AQ95" s="263"/>
    </row>
    <row r="96" spans="43:43" x14ac:dyDescent="0.2">
      <c r="AQ96" s="263"/>
    </row>
    <row r="97" spans="43:43" x14ac:dyDescent="0.2">
      <c r="AQ97" s="263"/>
    </row>
    <row r="98" spans="43:43" x14ac:dyDescent="0.2">
      <c r="AQ98" s="263"/>
    </row>
    <row r="99" spans="43:43" x14ac:dyDescent="0.2">
      <c r="AQ99" s="263"/>
    </row>
    <row r="100" spans="43:43" x14ac:dyDescent="0.2">
      <c r="AQ100" s="263"/>
    </row>
    <row r="101" spans="43:43" x14ac:dyDescent="0.2">
      <c r="AQ101" s="263"/>
    </row>
    <row r="102" spans="43:43" x14ac:dyDescent="0.2">
      <c r="AQ102" s="263"/>
    </row>
    <row r="103" spans="43:43" x14ac:dyDescent="0.2">
      <c r="AQ103" s="263"/>
    </row>
    <row r="104" spans="43:43" x14ac:dyDescent="0.2">
      <c r="AQ104" s="263"/>
    </row>
    <row r="105" spans="43:43" x14ac:dyDescent="0.2">
      <c r="AQ105" s="263"/>
    </row>
    <row r="106" spans="43:43" x14ac:dyDescent="0.2">
      <c r="AQ106" s="263"/>
    </row>
    <row r="107" spans="43:43" x14ac:dyDescent="0.2">
      <c r="AQ107" s="263"/>
    </row>
    <row r="108" spans="43:43" x14ac:dyDescent="0.2">
      <c r="AQ108" s="263"/>
    </row>
    <row r="109" spans="43:43" x14ac:dyDescent="0.2">
      <c r="AQ109" s="263"/>
    </row>
    <row r="110" spans="43:43" x14ac:dyDescent="0.2">
      <c r="AQ110" s="263"/>
    </row>
    <row r="111" spans="43:43" x14ac:dyDescent="0.2">
      <c r="AQ111" s="263"/>
    </row>
    <row r="112" spans="43:43" x14ac:dyDescent="0.2">
      <c r="AQ112" s="263"/>
    </row>
    <row r="113" spans="43:43" x14ac:dyDescent="0.2">
      <c r="AQ113" s="263"/>
    </row>
    <row r="114" spans="43:43" x14ac:dyDescent="0.2">
      <c r="AQ114" s="263"/>
    </row>
    <row r="115" spans="43:43" x14ac:dyDescent="0.2">
      <c r="AQ115" s="263"/>
    </row>
    <row r="116" spans="43:43" x14ac:dyDescent="0.2">
      <c r="AQ116" s="263"/>
    </row>
  </sheetData>
  <mergeCells count="21">
    <mergeCell ref="A6:B6"/>
    <mergeCell ref="R3:T3"/>
    <mergeCell ref="U3:W3"/>
    <mergeCell ref="A34:B34"/>
    <mergeCell ref="A26:B26"/>
    <mergeCell ref="A42:B42"/>
    <mergeCell ref="A16:B16"/>
    <mergeCell ref="C3:E3"/>
    <mergeCell ref="I3:K3"/>
    <mergeCell ref="F3:H3"/>
    <mergeCell ref="A4:B4"/>
    <mergeCell ref="A1:AQ1"/>
    <mergeCell ref="A2:AQ2"/>
    <mergeCell ref="X3:AP3"/>
    <mergeCell ref="X4:Z4"/>
    <mergeCell ref="AA4:AC4"/>
    <mergeCell ref="AD4:AL4"/>
    <mergeCell ref="AM4:AO4"/>
    <mergeCell ref="AP4:AR4"/>
    <mergeCell ref="L3:N3"/>
    <mergeCell ref="O3:Q3"/>
  </mergeCells>
  <phoneticPr fontId="0" type="noConversion"/>
  <pageMargins left="0" right="0" top="0" bottom="0" header="0.51181102362204722" footer="0.51181102362204722"/>
  <pageSetup paperSize="9" scale="46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="90" workbookViewId="0">
      <pane xSplit="2" ySplit="5" topLeftCell="C6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 x14ac:dyDescent="0.2"/>
  <cols>
    <col min="1" max="1" width="4" customWidth="1"/>
    <col min="2" max="2" width="37" customWidth="1"/>
    <col min="3" max="3" width="14.42578125" customWidth="1"/>
    <col min="4" max="4" width="15.28515625" customWidth="1"/>
    <col min="5" max="5" width="16.140625" customWidth="1"/>
    <col min="6" max="6" width="15.7109375" hidden="1" customWidth="1"/>
    <col min="7" max="7" width="13.7109375" hidden="1" customWidth="1"/>
    <col min="8" max="8" width="12.85546875" customWidth="1"/>
    <col min="9" max="9" width="20.28515625" hidden="1" customWidth="1"/>
    <col min="10" max="10" width="20" hidden="1" customWidth="1"/>
    <col min="11" max="11" width="12.5703125" hidden="1" customWidth="1"/>
    <col min="12" max="12" width="12.5703125" customWidth="1"/>
  </cols>
  <sheetData>
    <row r="1" spans="1:12" ht="19.5" thickBot="1" x14ac:dyDescent="0.35">
      <c r="A1" s="378" t="s">
        <v>132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6.5" hidden="1" thickBot="1" x14ac:dyDescent="0.3">
      <c r="A2" s="382" t="s">
        <v>104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19.5" thickBot="1" x14ac:dyDescent="0.35">
      <c r="A3" s="34"/>
      <c r="B3" s="35"/>
      <c r="C3" s="384" t="s">
        <v>0</v>
      </c>
      <c r="D3" s="385"/>
      <c r="E3" s="385"/>
      <c r="F3" s="385"/>
      <c r="G3" s="385"/>
      <c r="H3" s="385"/>
      <c r="I3" s="385"/>
      <c r="J3" s="385"/>
      <c r="K3" s="422"/>
      <c r="L3" s="161"/>
    </row>
    <row r="4" spans="1:12" ht="15.75" x14ac:dyDescent="0.25">
      <c r="A4" s="393" t="s">
        <v>41</v>
      </c>
      <c r="B4" s="394"/>
      <c r="C4" s="36" t="s">
        <v>40</v>
      </c>
      <c r="D4" s="36" t="s">
        <v>40</v>
      </c>
      <c r="E4" s="164" t="s">
        <v>42</v>
      </c>
      <c r="F4" s="111" t="s">
        <v>102</v>
      </c>
      <c r="G4" s="162"/>
      <c r="H4" s="37" t="s">
        <v>39</v>
      </c>
      <c r="I4" s="38" t="s">
        <v>43</v>
      </c>
      <c r="J4" s="37" t="s">
        <v>44</v>
      </c>
      <c r="K4" s="39" t="s">
        <v>45</v>
      </c>
      <c r="L4" s="37" t="s">
        <v>39</v>
      </c>
    </row>
    <row r="5" spans="1:12" ht="15.75" thickBot="1" x14ac:dyDescent="0.25">
      <c r="A5" s="47"/>
      <c r="B5" s="48"/>
      <c r="C5" s="49" t="s">
        <v>128</v>
      </c>
      <c r="D5" s="49" t="s">
        <v>36</v>
      </c>
      <c r="E5" s="49" t="s">
        <v>130</v>
      </c>
      <c r="F5" s="110" t="s">
        <v>50</v>
      </c>
      <c r="G5" s="112" t="s">
        <v>39</v>
      </c>
      <c r="H5" s="53" t="s">
        <v>129</v>
      </c>
      <c r="I5" s="50" t="s">
        <v>51</v>
      </c>
      <c r="J5" s="51" t="s">
        <v>48</v>
      </c>
      <c r="K5" s="52" t="s">
        <v>52</v>
      </c>
      <c r="L5" s="53" t="s">
        <v>133</v>
      </c>
    </row>
    <row r="6" spans="1:12" ht="15.75" x14ac:dyDescent="0.25">
      <c r="A6" s="403" t="s">
        <v>124</v>
      </c>
      <c r="B6" s="404"/>
      <c r="C6" s="144">
        <f>SUM(C7:C11)</f>
        <v>332880</v>
      </c>
      <c r="D6" s="144">
        <f>SUM(D7:D11)</f>
        <v>295653</v>
      </c>
      <c r="E6" s="165" t="e">
        <f>SUM(E7:E11)</f>
        <v>#REF!</v>
      </c>
      <c r="F6" s="166" t="e">
        <f>SUM(F7:F11)</f>
        <v>#REF!</v>
      </c>
      <c r="G6" s="101" t="e">
        <f t="shared" ref="G6:G11" si="0">ROUND(F6/D6*100,1)</f>
        <v>#REF!</v>
      </c>
      <c r="H6" s="167" t="e">
        <f t="shared" ref="H6:H11" si="1">ROUND(E6/C6*100,1)</f>
        <v>#REF!</v>
      </c>
      <c r="I6" s="166" t="e">
        <f>SUM(I7:I11)</f>
        <v>#REF!</v>
      </c>
      <c r="J6" s="166" t="e">
        <f>SUM(J7:J11)</f>
        <v>#REF!</v>
      </c>
      <c r="K6" s="165" t="e">
        <f>SUM(K7:K11)</f>
        <v>#REF!</v>
      </c>
      <c r="L6" s="167" t="e">
        <f>ROUND(E6/D6*100,1)</f>
        <v>#REF!</v>
      </c>
    </row>
    <row r="7" spans="1:12" ht="15.75" x14ac:dyDescent="0.25">
      <c r="A7" s="66">
        <v>1</v>
      </c>
      <c r="B7" s="141" t="s">
        <v>121</v>
      </c>
      <c r="C7" s="64">
        <f>мун.зак.!X7</f>
        <v>194000</v>
      </c>
      <c r="D7" s="64">
        <f>областн!$B$26</f>
        <v>173396</v>
      </c>
      <c r="E7" s="158" t="e">
        <f>кмс!D46+МАКС!#REF!+сол!#REF!</f>
        <v>#REF!</v>
      </c>
      <c r="F7" s="159" t="e">
        <f>ROUND(E7/10*12,0)</f>
        <v>#REF!</v>
      </c>
      <c r="G7" s="159" t="e">
        <f t="shared" si="0"/>
        <v>#REF!</v>
      </c>
      <c r="H7" s="168" t="e">
        <f t="shared" si="1"/>
        <v>#REF!</v>
      </c>
      <c r="I7" s="169" t="e">
        <f>[1]совита!D52+#REF!+#REF!</f>
        <v>#REF!</v>
      </c>
      <c r="J7" s="169" t="e">
        <f>[1]совита!E52+#REF!+#REF!</f>
        <v>#REF!</v>
      </c>
      <c r="K7" s="158" t="e">
        <f>[1]совита!F52+#REF!+#REF!</f>
        <v>#REF!</v>
      </c>
      <c r="L7" s="170" t="e">
        <f t="shared" ref="L7:L47" si="2">ROUND(E7/D7*100,1)</f>
        <v>#REF!</v>
      </c>
    </row>
    <row r="8" spans="1:12" ht="15.75" x14ac:dyDescent="0.25">
      <c r="A8" s="66">
        <v>2</v>
      </c>
      <c r="B8" s="141" t="s">
        <v>120</v>
      </c>
      <c r="C8" s="64">
        <f>мун.зак.!X8</f>
        <v>47880</v>
      </c>
      <c r="D8" s="64">
        <f>госп!$B$26</f>
        <v>43127</v>
      </c>
      <c r="E8" s="158" t="e">
        <f>кмс!D47+МАКС!#REF!+сол!#REF!</f>
        <v>#REF!</v>
      </c>
      <c r="F8" s="159" t="e">
        <f>ROUND(E8/10*12,0)</f>
        <v>#REF!</v>
      </c>
      <c r="G8" s="159" t="e">
        <f t="shared" si="0"/>
        <v>#REF!</v>
      </c>
      <c r="H8" s="168" t="e">
        <f t="shared" si="1"/>
        <v>#REF!</v>
      </c>
      <c r="I8" s="169" t="e">
        <f>[1]совита!D53+#REF!+#REF!</f>
        <v>#REF!</v>
      </c>
      <c r="J8" s="169" t="e">
        <f>[1]совита!E53+#REF!+#REF!</f>
        <v>#REF!</v>
      </c>
      <c r="K8" s="158" t="e">
        <f>[1]совита!F53+#REF!+#REF!</f>
        <v>#REF!</v>
      </c>
      <c r="L8" s="170" t="e">
        <f t="shared" si="2"/>
        <v>#REF!</v>
      </c>
    </row>
    <row r="9" spans="1:12" ht="15.75" x14ac:dyDescent="0.25">
      <c r="A9" s="66">
        <v>3</v>
      </c>
      <c r="B9" s="141" t="s">
        <v>119</v>
      </c>
      <c r="C9" s="64">
        <f>мун.зак.!X9</f>
        <v>38000</v>
      </c>
      <c r="D9" s="64">
        <f>кард!$B$26</f>
        <v>33400</v>
      </c>
      <c r="E9" s="158" t="e">
        <f>кмс!#REF!+МАКС!D50+сол!D50</f>
        <v>#REF!</v>
      </c>
      <c r="F9" s="159" t="e">
        <f>ROUND(E9/10*12,0)</f>
        <v>#REF!</v>
      </c>
      <c r="G9" s="159" t="e">
        <f t="shared" si="0"/>
        <v>#REF!</v>
      </c>
      <c r="H9" s="168" t="e">
        <f t="shared" si="1"/>
        <v>#REF!</v>
      </c>
      <c r="I9" s="169" t="e">
        <f>[1]совита!D54+#REF!+#REF!</f>
        <v>#REF!</v>
      </c>
      <c r="J9" s="169" t="e">
        <f>[1]совита!E54+#REF!+#REF!</f>
        <v>#REF!</v>
      </c>
      <c r="K9" s="158" t="e">
        <f>[1]совита!F54+#REF!+#REF!</f>
        <v>#REF!</v>
      </c>
      <c r="L9" s="170" t="e">
        <f t="shared" si="2"/>
        <v>#REF!</v>
      </c>
    </row>
    <row r="10" spans="1:12" ht="15.75" x14ac:dyDescent="0.25">
      <c r="A10" s="66">
        <v>4</v>
      </c>
      <c r="B10" s="141" t="s">
        <v>116</v>
      </c>
      <c r="C10" s="64">
        <f>мун.зак.!X10</f>
        <v>9000</v>
      </c>
      <c r="D10" s="64">
        <f>кожн!$B$26</f>
        <v>6680</v>
      </c>
      <c r="E10" s="158" t="e">
        <f>кмс!#REF!+МАКС!D53+сол!D53</f>
        <v>#REF!</v>
      </c>
      <c r="F10" s="159" t="e">
        <f>ROUND(E10/10*12,0)</f>
        <v>#REF!</v>
      </c>
      <c r="G10" s="159" t="e">
        <f t="shared" si="0"/>
        <v>#REF!</v>
      </c>
      <c r="H10" s="168" t="e">
        <f t="shared" si="1"/>
        <v>#REF!</v>
      </c>
      <c r="I10" s="169" t="e">
        <f>[1]совита!D55+#REF!+#REF!</f>
        <v>#REF!</v>
      </c>
      <c r="J10" s="169" t="e">
        <f>[1]совита!E55+#REF!+#REF!</f>
        <v>#REF!</v>
      </c>
      <c r="K10" s="158" t="e">
        <f>[1]совита!F55+#REF!+#REF!</f>
        <v>#REF!</v>
      </c>
      <c r="L10" s="170" t="e">
        <f t="shared" si="2"/>
        <v>#REF!</v>
      </c>
    </row>
    <row r="11" spans="1:12" ht="15.75" x14ac:dyDescent="0.25">
      <c r="A11" s="66">
        <v>5</v>
      </c>
      <c r="B11" s="141" t="s">
        <v>117</v>
      </c>
      <c r="C11" s="64">
        <f>мун.зак.!X11</f>
        <v>44000</v>
      </c>
      <c r="D11" s="64">
        <f>ОНКО!$B$26</f>
        <v>39050</v>
      </c>
      <c r="E11" s="158" t="e">
        <f>кмс!#REF!+МАКС!D54+сол!D54</f>
        <v>#REF!</v>
      </c>
      <c r="F11" s="159" t="e">
        <f>ROUND(E11/10*12,0)</f>
        <v>#REF!</v>
      </c>
      <c r="G11" s="159" t="e">
        <f t="shared" si="0"/>
        <v>#REF!</v>
      </c>
      <c r="H11" s="168" t="e">
        <f t="shared" si="1"/>
        <v>#REF!</v>
      </c>
      <c r="I11" s="169" t="e">
        <f>[1]совита!D56+#REF!+#REF!</f>
        <v>#REF!</v>
      </c>
      <c r="J11" s="169" t="e">
        <f>[1]совита!E56+#REF!+#REF!</f>
        <v>#REF!</v>
      </c>
      <c r="K11" s="158" t="e">
        <f>[1]совита!F56+#REF!+#REF!</f>
        <v>#REF!</v>
      </c>
      <c r="L11" s="170" t="e">
        <f t="shared" si="2"/>
        <v>#REF!</v>
      </c>
    </row>
    <row r="12" spans="1:12" ht="15.75" x14ac:dyDescent="0.25">
      <c r="A12" s="420" t="s">
        <v>123</v>
      </c>
      <c r="B12" s="421"/>
      <c r="C12" s="61" t="e">
        <f>SUM(C13:C45)</f>
        <v>#REF!</v>
      </c>
      <c r="D12" s="61">
        <f>SUM(D13:D45)</f>
        <v>850721</v>
      </c>
      <c r="E12" s="61" t="e">
        <f>SUM(E13:E45)</f>
        <v>#REF!</v>
      </c>
      <c r="F12" s="61" t="e">
        <f>SUM(F13:F45)</f>
        <v>#REF!</v>
      </c>
      <c r="G12" s="62" t="e">
        <f t="shared" ref="G12:G28" si="3">ROUND(F12/D12*100,1)</f>
        <v>#REF!</v>
      </c>
      <c r="H12" s="167" t="e">
        <f>ROUND(E12/C12*100,1)</f>
        <v>#REF!</v>
      </c>
      <c r="I12" s="96" t="e">
        <f>SUM(I13:I45)</f>
        <v>#REF!</v>
      </c>
      <c r="J12" s="61" t="e">
        <f>SUM(J13:J45)</f>
        <v>#REF!</v>
      </c>
      <c r="K12" s="95" t="e">
        <f>SUM(K13:K45)</f>
        <v>#REF!</v>
      </c>
      <c r="L12" s="167" t="e">
        <f t="shared" si="2"/>
        <v>#REF!</v>
      </c>
    </row>
    <row r="13" spans="1:12" ht="15.75" x14ac:dyDescent="0.25">
      <c r="A13" s="140">
        <v>6</v>
      </c>
      <c r="B13" s="63" t="s">
        <v>54</v>
      </c>
      <c r="C13" s="64">
        <f>мун.зак.!X17</f>
        <v>5000</v>
      </c>
      <c r="D13" s="64">
        <f>ант!$B$26</f>
        <v>3438</v>
      </c>
      <c r="E13" s="158">
        <f>кмс!D7+МАКС!D7+сол!D7</f>
        <v>172906</v>
      </c>
      <c r="F13" s="159">
        <f t="shared" ref="F13:F34" si="4">ROUND(E13/10*12,0)</f>
        <v>207487</v>
      </c>
      <c r="G13" s="159">
        <f t="shared" si="3"/>
        <v>6035.1</v>
      </c>
      <c r="H13" s="168">
        <f t="shared" ref="H13:H21" si="5">ROUND(E13/C13*100,1)</f>
        <v>3458.1</v>
      </c>
      <c r="I13" s="169" t="e">
        <f>[1]совита!D7+#REF!+#REF!</f>
        <v>#REF!</v>
      </c>
      <c r="J13" s="169" t="e">
        <f>[1]совита!E7+#REF!+#REF!</f>
        <v>#REF!</v>
      </c>
      <c r="K13" s="158" t="e">
        <f>[1]совита!F7+#REF!+#REF!</f>
        <v>#REF!</v>
      </c>
      <c r="L13" s="170">
        <f t="shared" si="2"/>
        <v>5029.3</v>
      </c>
    </row>
    <row r="14" spans="1:12" ht="15.75" x14ac:dyDescent="0.25">
      <c r="A14" s="66">
        <v>7</v>
      </c>
      <c r="B14" s="67" t="s">
        <v>55</v>
      </c>
      <c r="C14" s="64">
        <f>мун.зак.!X18</f>
        <v>36000</v>
      </c>
      <c r="D14" s="64">
        <f>буй!$B$26</f>
        <v>30857</v>
      </c>
      <c r="E14" s="158">
        <f>кмс!D8+МАКС!D8+сол!D8</f>
        <v>42776</v>
      </c>
      <c r="F14" s="159">
        <f t="shared" si="4"/>
        <v>51331</v>
      </c>
      <c r="G14" s="159">
        <f t="shared" si="3"/>
        <v>166.4</v>
      </c>
      <c r="H14" s="168">
        <f t="shared" si="5"/>
        <v>118.8</v>
      </c>
      <c r="I14" s="169" t="e">
        <f>[1]совита!D8+#REF!+#REF!</f>
        <v>#REF!</v>
      </c>
      <c r="J14" s="169" t="e">
        <f>[1]совита!E8+#REF!+#REF!</f>
        <v>#REF!</v>
      </c>
      <c r="K14" s="158" t="e">
        <f>[1]совита!F8+#REF!+#REF!</f>
        <v>#REF!</v>
      </c>
      <c r="L14" s="170">
        <f t="shared" si="2"/>
        <v>138.6</v>
      </c>
    </row>
    <row r="15" spans="1:12" ht="15.75" x14ac:dyDescent="0.25">
      <c r="A15" s="66">
        <v>8</v>
      </c>
      <c r="B15" s="67" t="s">
        <v>56</v>
      </c>
      <c r="C15" s="64">
        <f>мун.зак.!X19</f>
        <v>0</v>
      </c>
      <c r="D15" s="64">
        <f>гавр!$B$26</f>
        <v>0</v>
      </c>
      <c r="E15" s="158">
        <f>кмс!D9+МАКС!D9+сол!D9</f>
        <v>32378</v>
      </c>
      <c r="F15" s="159">
        <f t="shared" si="4"/>
        <v>38854</v>
      </c>
      <c r="G15" s="159" t="e">
        <f t="shared" si="3"/>
        <v>#DIV/0!</v>
      </c>
      <c r="H15" s="168" t="e">
        <f t="shared" si="5"/>
        <v>#DIV/0!</v>
      </c>
      <c r="I15" s="169" t="e">
        <f>[1]совита!D9+#REF!+#REF!</f>
        <v>#REF!</v>
      </c>
      <c r="J15" s="169" t="e">
        <f>[1]совита!E9+#REF!+#REF!</f>
        <v>#REF!</v>
      </c>
      <c r="K15" s="158" t="e">
        <f>[1]совита!F9+#REF!+#REF!</f>
        <v>#REF!</v>
      </c>
      <c r="L15" s="170" t="e">
        <f t="shared" si="2"/>
        <v>#DIV/0!</v>
      </c>
    </row>
    <row r="16" spans="1:12" ht="15.75" x14ac:dyDescent="0.25">
      <c r="A16" s="66">
        <v>9</v>
      </c>
      <c r="B16" s="67" t="s">
        <v>108</v>
      </c>
      <c r="C16" s="64">
        <f>мун.зак.!X20</f>
        <v>65000</v>
      </c>
      <c r="D16" s="64">
        <f>галич!$B$26</f>
        <v>54856</v>
      </c>
      <c r="E16" s="158">
        <f>кмс!D11+МАКС!D11+сол!D11</f>
        <v>37675</v>
      </c>
      <c r="F16" s="159">
        <f t="shared" si="4"/>
        <v>45210</v>
      </c>
      <c r="G16" s="159">
        <f t="shared" si="3"/>
        <v>82.4</v>
      </c>
      <c r="H16" s="168">
        <f t="shared" si="5"/>
        <v>58</v>
      </c>
      <c r="I16" s="169" t="e">
        <f>[1]совита!D11+#REF!+#REF!</f>
        <v>#REF!</v>
      </c>
      <c r="J16" s="169" t="e">
        <f>[1]совита!E11+#REF!+#REF!</f>
        <v>#REF!</v>
      </c>
      <c r="K16" s="158" t="e">
        <f>[1]совита!F11+#REF!+#REF!</f>
        <v>#REF!</v>
      </c>
      <c r="L16" s="170">
        <f t="shared" si="2"/>
        <v>68.7</v>
      </c>
    </row>
    <row r="17" spans="1:12" ht="15.75" x14ac:dyDescent="0.25">
      <c r="A17" s="66">
        <v>10</v>
      </c>
      <c r="B17" s="67" t="s">
        <v>57</v>
      </c>
      <c r="C17" s="64">
        <f>мун.зак.!X21</f>
        <v>535</v>
      </c>
      <c r="D17" s="64">
        <f>орех!$B$26</f>
        <v>825</v>
      </c>
      <c r="E17" s="158">
        <f>кмс!D12+МАКС!D12+сол!D12</f>
        <v>0</v>
      </c>
      <c r="F17" s="159">
        <f t="shared" si="4"/>
        <v>0</v>
      </c>
      <c r="G17" s="159">
        <f t="shared" si="3"/>
        <v>0</v>
      </c>
      <c r="H17" s="168">
        <f t="shared" si="5"/>
        <v>0</v>
      </c>
      <c r="I17" s="169" t="e">
        <f>[1]совита!D12+#REF!+#REF!</f>
        <v>#REF!</v>
      </c>
      <c r="J17" s="169" t="e">
        <f>[1]совита!E12+#REF!+#REF!</f>
        <v>#REF!</v>
      </c>
      <c r="K17" s="158" t="e">
        <f>[1]совита!F12+#REF!+#REF!</f>
        <v>#REF!</v>
      </c>
      <c r="L17" s="170">
        <f t="shared" si="2"/>
        <v>0</v>
      </c>
    </row>
    <row r="18" spans="1:12" ht="15.75" x14ac:dyDescent="0.25">
      <c r="A18" s="66">
        <v>11</v>
      </c>
      <c r="B18" s="67" t="s">
        <v>58</v>
      </c>
      <c r="C18" s="64">
        <f>мун.зак.!X22</f>
        <v>5100</v>
      </c>
      <c r="D18" s="64">
        <f>пар!$B$26</f>
        <v>3499</v>
      </c>
      <c r="E18" s="158" t="e">
        <f>кмс!#REF!+МАКС!#REF!+сол!#REF!</f>
        <v>#REF!</v>
      </c>
      <c r="F18" s="159" t="e">
        <f t="shared" si="4"/>
        <v>#REF!</v>
      </c>
      <c r="G18" s="159" t="e">
        <f t="shared" si="3"/>
        <v>#REF!</v>
      </c>
      <c r="H18" s="168" t="e">
        <f t="shared" si="5"/>
        <v>#REF!</v>
      </c>
      <c r="I18" s="169" t="e">
        <f>[1]совита!D13+#REF!+#REF!</f>
        <v>#REF!</v>
      </c>
      <c r="J18" s="169" t="e">
        <f>[1]совита!E13+#REF!+#REF!</f>
        <v>#REF!</v>
      </c>
      <c r="K18" s="158" t="e">
        <f>[1]совита!F13+#REF!+#REF!</f>
        <v>#REF!</v>
      </c>
      <c r="L18" s="170" t="e">
        <f t="shared" si="2"/>
        <v>#REF!</v>
      </c>
    </row>
    <row r="19" spans="1:12" ht="15.75" x14ac:dyDescent="0.25">
      <c r="A19" s="66">
        <v>12</v>
      </c>
      <c r="B19" s="67" t="s">
        <v>59</v>
      </c>
      <c r="C19" s="64">
        <f>мун.зак.!X23</f>
        <v>4100</v>
      </c>
      <c r="D19" s="64">
        <f>солиг!$B$26</f>
        <v>3404</v>
      </c>
      <c r="E19" s="158">
        <f>кмс!D13+МАКС!D13+сол!D13</f>
        <v>0</v>
      </c>
      <c r="F19" s="159">
        <f t="shared" si="4"/>
        <v>0</v>
      </c>
      <c r="G19" s="159">
        <f t="shared" si="3"/>
        <v>0</v>
      </c>
      <c r="H19" s="168">
        <f t="shared" si="5"/>
        <v>0</v>
      </c>
      <c r="I19" s="169" t="e">
        <f>[1]совита!D14+#REF!+#REF!</f>
        <v>#REF!</v>
      </c>
      <c r="J19" s="169" t="e">
        <f>[1]совита!E14+#REF!+#REF!</f>
        <v>#REF!</v>
      </c>
      <c r="K19" s="158" t="e">
        <f>[1]совита!F14+#REF!+#REF!</f>
        <v>#REF!</v>
      </c>
      <c r="L19" s="170">
        <f t="shared" si="2"/>
        <v>0</v>
      </c>
    </row>
    <row r="20" spans="1:12" ht="15.75" x14ac:dyDescent="0.25">
      <c r="A20" s="66">
        <v>13</v>
      </c>
      <c r="B20" s="67" t="s">
        <v>60</v>
      </c>
      <c r="C20" s="64">
        <f>мун.зак.!X24</f>
        <v>7100</v>
      </c>
      <c r="D20" s="64">
        <f>чухл!$B$26</f>
        <v>6314</v>
      </c>
      <c r="E20" s="158">
        <f>кмс!D16+МАКС!D16+сол!D16</f>
        <v>101264</v>
      </c>
      <c r="F20" s="159">
        <f t="shared" si="4"/>
        <v>121517</v>
      </c>
      <c r="G20" s="159">
        <f t="shared" si="3"/>
        <v>1924.6</v>
      </c>
      <c r="H20" s="168">
        <f t="shared" si="5"/>
        <v>1426.3</v>
      </c>
      <c r="I20" s="169" t="e">
        <f>[1]совита!D15+#REF!+#REF!</f>
        <v>#REF!</v>
      </c>
      <c r="J20" s="169" t="e">
        <f>[1]совита!E15+#REF!+#REF!</f>
        <v>#REF!</v>
      </c>
      <c r="K20" s="158" t="e">
        <f>[1]совита!F15+#REF!+#REF!</f>
        <v>#REF!</v>
      </c>
      <c r="L20" s="170">
        <f t="shared" si="2"/>
        <v>1603.8</v>
      </c>
    </row>
    <row r="21" spans="1:12" ht="15.75" x14ac:dyDescent="0.25">
      <c r="A21" s="66">
        <v>14</v>
      </c>
      <c r="B21" s="67" t="s">
        <v>61</v>
      </c>
      <c r="C21" s="64">
        <f>мун.зак.!X27</f>
        <v>6000</v>
      </c>
      <c r="D21" s="64">
        <f>кадый!$B$26</f>
        <v>4415</v>
      </c>
      <c r="E21" s="158">
        <f>кмс!D18+МАКС!D18+сол!D18</f>
        <v>30135</v>
      </c>
      <c r="F21" s="159">
        <f t="shared" si="4"/>
        <v>36162</v>
      </c>
      <c r="G21" s="159">
        <f t="shared" si="3"/>
        <v>819.1</v>
      </c>
      <c r="H21" s="168">
        <f t="shared" si="5"/>
        <v>502.3</v>
      </c>
      <c r="I21" s="169" t="e">
        <f>[1]совита!D17+#REF!+#REF!</f>
        <v>#REF!</v>
      </c>
      <c r="J21" s="169" t="e">
        <f>[1]совита!E17+#REF!+#REF!</f>
        <v>#REF!</v>
      </c>
      <c r="K21" s="158" t="e">
        <f>[1]совита!F17+#REF!+#REF!</f>
        <v>#REF!</v>
      </c>
      <c r="L21" s="170">
        <f t="shared" si="2"/>
        <v>682.6</v>
      </c>
    </row>
    <row r="22" spans="1:12" ht="15.75" x14ac:dyDescent="0.25">
      <c r="A22" s="66">
        <v>15</v>
      </c>
      <c r="B22" s="67" t="s">
        <v>63</v>
      </c>
      <c r="C22" s="64">
        <f>мун.зак.!X28</f>
        <v>3000</v>
      </c>
      <c r="D22" s="64">
        <f>кол!$B$26</f>
        <v>2994</v>
      </c>
      <c r="E22" s="158">
        <f>кмс!D19+МАКС!D19+сол!D19</f>
        <v>0</v>
      </c>
      <c r="F22" s="159">
        <f t="shared" si="4"/>
        <v>0</v>
      </c>
      <c r="G22" s="159">
        <f t="shared" si="3"/>
        <v>0</v>
      </c>
      <c r="H22" s="168">
        <f t="shared" ref="H22:H28" si="6">ROUND(E22/C22*100,1)</f>
        <v>0</v>
      </c>
      <c r="I22" s="169" t="e">
        <f>[1]совита!D19+#REF!+#REF!</f>
        <v>#REF!</v>
      </c>
      <c r="J22" s="169" t="e">
        <f>[1]совита!E19+#REF!+#REF!</f>
        <v>#REF!</v>
      </c>
      <c r="K22" s="158" t="e">
        <f>[1]совита!F19+#REF!+#REF!</f>
        <v>#REF!</v>
      </c>
      <c r="L22" s="170">
        <f t="shared" si="2"/>
        <v>0</v>
      </c>
    </row>
    <row r="23" spans="1:12" ht="15.75" x14ac:dyDescent="0.25">
      <c r="A23" s="66">
        <v>16</v>
      </c>
      <c r="B23" s="67" t="s">
        <v>64</v>
      </c>
      <c r="C23" s="64">
        <f>мун.зак.!X29</f>
        <v>12000</v>
      </c>
      <c r="D23" s="64">
        <f>мак!$B$26</f>
        <v>8983</v>
      </c>
      <c r="E23" s="158">
        <f>кмс!D20+МАКС!D20+сол!D20</f>
        <v>53039</v>
      </c>
      <c r="F23" s="159">
        <f t="shared" si="4"/>
        <v>63647</v>
      </c>
      <c r="G23" s="159">
        <f t="shared" si="3"/>
        <v>708.5</v>
      </c>
      <c r="H23" s="168">
        <f t="shared" si="6"/>
        <v>442</v>
      </c>
      <c r="I23" s="169" t="e">
        <f>[1]совита!D20+#REF!+#REF!</f>
        <v>#REF!</v>
      </c>
      <c r="J23" s="169" t="e">
        <f>[1]совита!E20+#REF!+#REF!</f>
        <v>#REF!</v>
      </c>
      <c r="K23" s="158" t="e">
        <f>[1]совита!F20+#REF!+#REF!</f>
        <v>#REF!</v>
      </c>
      <c r="L23" s="170">
        <f t="shared" si="2"/>
        <v>590.4</v>
      </c>
    </row>
    <row r="24" spans="1:12" ht="15.4" customHeight="1" x14ac:dyDescent="0.25">
      <c r="A24" s="66">
        <v>17</v>
      </c>
      <c r="B24" s="67" t="s">
        <v>109</v>
      </c>
      <c r="C24" s="64">
        <f>мун.зак.!X30</f>
        <v>45000</v>
      </c>
      <c r="D24" s="64">
        <f>мант!$B$26</f>
        <v>40183</v>
      </c>
      <c r="E24" s="158">
        <f>кмс!D21+МАКС!D21+сол!D21</f>
        <v>535</v>
      </c>
      <c r="F24" s="159">
        <f t="shared" si="4"/>
        <v>642</v>
      </c>
      <c r="G24" s="159">
        <f t="shared" si="3"/>
        <v>1.6</v>
      </c>
      <c r="H24" s="168">
        <f t="shared" si="6"/>
        <v>1.2</v>
      </c>
      <c r="I24" s="169" t="e">
        <f>[1]совита!D22+#REF!+#REF!</f>
        <v>#REF!</v>
      </c>
      <c r="J24" s="169" t="e">
        <f>[1]совита!E22+#REF!+#REF!</f>
        <v>#REF!</v>
      </c>
      <c r="K24" s="158" t="e">
        <f>[1]совита!F22+#REF!+#REF!</f>
        <v>#REF!</v>
      </c>
      <c r="L24" s="170">
        <f t="shared" si="2"/>
        <v>1.3</v>
      </c>
    </row>
    <row r="25" spans="1:12" ht="15.75" x14ac:dyDescent="0.25">
      <c r="A25" s="66">
        <v>18</v>
      </c>
      <c r="B25" s="67" t="s">
        <v>65</v>
      </c>
      <c r="C25" s="64">
        <f>мун.зак.!X31</f>
        <v>0</v>
      </c>
      <c r="D25" s="64">
        <f>спас!$B$26</f>
        <v>0</v>
      </c>
      <c r="E25" s="158">
        <f>кмс!D22+МАКС!D22+сол!D22</f>
        <v>3566</v>
      </c>
      <c r="F25" s="159">
        <f t="shared" si="4"/>
        <v>4279</v>
      </c>
      <c r="G25" s="159" t="e">
        <f t="shared" si="3"/>
        <v>#DIV/0!</v>
      </c>
      <c r="H25" s="168" t="e">
        <f t="shared" si="6"/>
        <v>#DIV/0!</v>
      </c>
      <c r="I25" s="169" t="e">
        <f>[1]совита!D23+#REF!+#REF!</f>
        <v>#REF!</v>
      </c>
      <c r="J25" s="169" t="e">
        <f>[1]совита!E23+#REF!+#REF!</f>
        <v>#REF!</v>
      </c>
      <c r="K25" s="158" t="e">
        <f>[1]совита!F23+#REF!+#REF!</f>
        <v>#REF!</v>
      </c>
      <c r="L25" s="170" t="e">
        <f t="shared" si="2"/>
        <v>#DIV/0!</v>
      </c>
    </row>
    <row r="26" spans="1:12" ht="15.75" x14ac:dyDescent="0.25">
      <c r="A26" s="66">
        <v>19</v>
      </c>
      <c r="B26" s="67" t="s">
        <v>66</v>
      </c>
      <c r="C26" s="64">
        <f>мун.зак.!X32</f>
        <v>3500</v>
      </c>
      <c r="D26" s="64">
        <f>межа!$B$26</f>
        <v>2120</v>
      </c>
      <c r="E26" s="158">
        <f>кмс!D23+МАКС!D23+сол!D23</f>
        <v>2641</v>
      </c>
      <c r="F26" s="159">
        <f t="shared" si="4"/>
        <v>3169</v>
      </c>
      <c r="G26" s="159">
        <f t="shared" si="3"/>
        <v>149.5</v>
      </c>
      <c r="H26" s="168">
        <f t="shared" si="6"/>
        <v>75.5</v>
      </c>
      <c r="I26" s="169" t="e">
        <f>[1]совита!#REF!+#REF!+#REF!</f>
        <v>#REF!</v>
      </c>
      <c r="J26" s="169" t="e">
        <f>[1]совита!#REF!+#REF!+#REF!</f>
        <v>#REF!</v>
      </c>
      <c r="K26" s="158" t="e">
        <f>[1]совита!#REF!+#REF!+#REF!</f>
        <v>#REF!</v>
      </c>
      <c r="L26" s="170">
        <f t="shared" si="2"/>
        <v>124.6</v>
      </c>
    </row>
    <row r="27" spans="1:12" ht="15.75" x14ac:dyDescent="0.25">
      <c r="A27" s="66">
        <v>20</v>
      </c>
      <c r="B27" s="67" t="s">
        <v>67</v>
      </c>
      <c r="C27" s="64">
        <f>мун.зак.!X33</f>
        <v>19000</v>
      </c>
      <c r="D27" s="64">
        <f>нея!$B$26</f>
        <v>14649</v>
      </c>
      <c r="E27" s="158">
        <f>кмс!D24+МАКС!D24+сол!D24</f>
        <v>5949</v>
      </c>
      <c r="F27" s="159">
        <f t="shared" si="4"/>
        <v>7139</v>
      </c>
      <c r="G27" s="159">
        <f t="shared" si="3"/>
        <v>48.7</v>
      </c>
      <c r="H27" s="168">
        <f t="shared" si="6"/>
        <v>31.3</v>
      </c>
      <c r="I27" s="169" t="e">
        <f>[1]совита!D25+#REF!+#REF!</f>
        <v>#REF!</v>
      </c>
      <c r="J27" s="169" t="e">
        <f>[1]совита!E25+#REF!+#REF!</f>
        <v>#REF!</v>
      </c>
      <c r="K27" s="158" t="e">
        <f>[1]совита!F25+#REF!+#REF!</f>
        <v>#REF!</v>
      </c>
      <c r="L27" s="170">
        <f t="shared" si="2"/>
        <v>40.6</v>
      </c>
    </row>
    <row r="28" spans="1:12" ht="15.75" x14ac:dyDescent="0.25">
      <c r="A28" s="66">
        <v>21</v>
      </c>
      <c r="B28" s="67" t="s">
        <v>68</v>
      </c>
      <c r="C28" s="64">
        <f>мун.зак.!X35</f>
        <v>104000</v>
      </c>
      <c r="D28" s="64">
        <f>шар!$B$26</f>
        <v>100218</v>
      </c>
      <c r="E28" s="158">
        <f>кмс!D28+МАКС!D28+сол!D28</f>
        <v>2015</v>
      </c>
      <c r="F28" s="159">
        <f t="shared" si="4"/>
        <v>2418</v>
      </c>
      <c r="G28" s="159">
        <f t="shared" si="3"/>
        <v>2.4</v>
      </c>
      <c r="H28" s="168">
        <f t="shared" si="6"/>
        <v>1.9</v>
      </c>
      <c r="I28" s="169" t="e">
        <f>[1]совита!D27+#REF!+#REF!</f>
        <v>#REF!</v>
      </c>
      <c r="J28" s="169" t="e">
        <f>[1]совита!E27+#REF!+#REF!</f>
        <v>#REF!</v>
      </c>
      <c r="K28" s="158" t="e">
        <f>[1]совита!F27+#REF!+#REF!</f>
        <v>#REF!</v>
      </c>
      <c r="L28" s="170">
        <f t="shared" si="2"/>
        <v>2</v>
      </c>
    </row>
    <row r="29" spans="1:12" ht="15.75" x14ac:dyDescent="0.25">
      <c r="A29" s="67">
        <v>24</v>
      </c>
      <c r="B29" s="67" t="s">
        <v>70</v>
      </c>
      <c r="C29" s="64">
        <f>мун.зак.!X36</f>
        <v>4500</v>
      </c>
      <c r="D29" s="64">
        <f>Рожд!$B$26</f>
        <v>2935</v>
      </c>
      <c r="E29" s="158">
        <f>кмс!D30+МАКС!D30+сол!D30</f>
        <v>39178</v>
      </c>
      <c r="F29" s="159">
        <f t="shared" si="4"/>
        <v>47014</v>
      </c>
      <c r="G29" s="159">
        <f t="shared" ref="G29:G34" si="7">ROUND(F29/D29*100,1)</f>
        <v>1601.8</v>
      </c>
      <c r="H29" s="168">
        <f t="shared" ref="H29:H48" si="8">ROUND(E29/C29*100,1)</f>
        <v>870.6</v>
      </c>
      <c r="I29" s="169" t="e">
        <f>[1]совита!D33+#REF!+#REF!</f>
        <v>#REF!</v>
      </c>
      <c r="J29" s="169" t="e">
        <f>[1]совита!E33+#REF!+#REF!</f>
        <v>#REF!</v>
      </c>
      <c r="K29" s="158" t="e">
        <f>[1]совита!F33+#REF!+#REF!</f>
        <v>#REF!</v>
      </c>
      <c r="L29" s="170">
        <f t="shared" si="2"/>
        <v>1334.9</v>
      </c>
    </row>
    <row r="30" spans="1:12" ht="15.75" x14ac:dyDescent="0.25">
      <c r="A30" s="66">
        <v>25</v>
      </c>
      <c r="B30" s="68" t="s">
        <v>71</v>
      </c>
      <c r="C30" s="64">
        <f>мун.зак.!X37</f>
        <v>4500</v>
      </c>
      <c r="D30" s="64">
        <f>поназ!$B$26</f>
        <v>3150</v>
      </c>
      <c r="E30" s="158">
        <f>кмс!D32+МАКС!D32+сол!D32</f>
        <v>2147</v>
      </c>
      <c r="F30" s="159">
        <f t="shared" si="4"/>
        <v>2576</v>
      </c>
      <c r="G30" s="159">
        <f t="shared" si="7"/>
        <v>81.8</v>
      </c>
      <c r="H30" s="168">
        <f t="shared" si="8"/>
        <v>47.7</v>
      </c>
      <c r="I30" s="169" t="e">
        <f>[1]совита!D35+#REF!+#REF!</f>
        <v>#REF!</v>
      </c>
      <c r="J30" s="169" t="e">
        <f>[1]совита!E35+#REF!+#REF!</f>
        <v>#REF!</v>
      </c>
      <c r="K30" s="158" t="e">
        <f>[1]совита!F35+#REF!+#REF!</f>
        <v>#REF!</v>
      </c>
      <c r="L30" s="170">
        <f t="shared" si="2"/>
        <v>68.2</v>
      </c>
    </row>
    <row r="31" spans="1:12" ht="15.75" x14ac:dyDescent="0.25">
      <c r="A31" s="66">
        <v>26</v>
      </c>
      <c r="B31" s="67" t="s">
        <v>72</v>
      </c>
      <c r="C31" s="64">
        <f>мун.зак.!X38</f>
        <v>3500</v>
      </c>
      <c r="D31" s="64">
        <f>пыщ!$B$26</f>
        <v>2639</v>
      </c>
      <c r="E31" s="158">
        <f>кмс!D33+МАКС!D33+сол!D33</f>
        <v>16269</v>
      </c>
      <c r="F31" s="159">
        <f t="shared" si="4"/>
        <v>19523</v>
      </c>
      <c r="G31" s="159">
        <f t="shared" si="7"/>
        <v>739.8</v>
      </c>
      <c r="H31" s="168">
        <f t="shared" si="8"/>
        <v>464.8</v>
      </c>
      <c r="I31" s="169" t="e">
        <f>[1]совита!D37+#REF!+#REF!</f>
        <v>#REF!</v>
      </c>
      <c r="J31" s="169" t="e">
        <f>[1]совита!E37+#REF!+#REF!</f>
        <v>#REF!</v>
      </c>
      <c r="K31" s="158" t="e">
        <f>[1]совита!F37+#REF!+#REF!</f>
        <v>#REF!</v>
      </c>
      <c r="L31" s="170">
        <f t="shared" si="2"/>
        <v>616.5</v>
      </c>
    </row>
    <row r="32" spans="1:12" ht="15.75" x14ac:dyDescent="0.25">
      <c r="A32" s="66">
        <v>27</v>
      </c>
      <c r="B32" s="67" t="s">
        <v>73</v>
      </c>
      <c r="C32" s="64">
        <f>мун.зак.!X39</f>
        <v>3500</v>
      </c>
      <c r="D32" s="64">
        <f>пав!$B$26</f>
        <v>2346</v>
      </c>
      <c r="E32" s="158">
        <f>кмс!D35+МАКС!D35+сол!D35</f>
        <v>90574</v>
      </c>
      <c r="F32" s="159">
        <f t="shared" si="4"/>
        <v>108689</v>
      </c>
      <c r="G32" s="159">
        <f t="shared" si="7"/>
        <v>4632.8999999999996</v>
      </c>
      <c r="H32" s="168">
        <f t="shared" si="8"/>
        <v>2587.8000000000002</v>
      </c>
      <c r="I32" s="169" t="e">
        <f>[1]совита!D38+#REF!+#REF!</f>
        <v>#REF!</v>
      </c>
      <c r="J32" s="169" t="e">
        <f>[1]совита!E38+#REF!+#REF!</f>
        <v>#REF!</v>
      </c>
      <c r="K32" s="158" t="e">
        <f>[1]совита!F38+#REF!+#REF!</f>
        <v>#REF!</v>
      </c>
      <c r="L32" s="170">
        <f t="shared" si="2"/>
        <v>3860.8</v>
      </c>
    </row>
    <row r="33" spans="1:12" ht="15.75" x14ac:dyDescent="0.25">
      <c r="A33" s="66">
        <v>28</v>
      </c>
      <c r="B33" s="67" t="s">
        <v>74</v>
      </c>
      <c r="C33" s="64">
        <f>мун.зак.!X40</f>
        <v>14500</v>
      </c>
      <c r="D33" s="64">
        <f>вохма!$B$26</f>
        <v>13170</v>
      </c>
      <c r="E33" s="158" t="e">
        <f>кмс!#REF!+МАКС!#REF!+сол!#REF!</f>
        <v>#REF!</v>
      </c>
      <c r="F33" s="159" t="e">
        <f t="shared" si="4"/>
        <v>#REF!</v>
      </c>
      <c r="G33" s="159" t="e">
        <f t="shared" si="7"/>
        <v>#REF!</v>
      </c>
      <c r="H33" s="168" t="e">
        <f t="shared" si="8"/>
        <v>#REF!</v>
      </c>
      <c r="I33" s="169" t="e">
        <f>[1]совита!D39+#REF!+#REF!</f>
        <v>#REF!</v>
      </c>
      <c r="J33" s="169" t="e">
        <f>[1]совита!E39+#REF!+#REF!</f>
        <v>#REF!</v>
      </c>
      <c r="K33" s="158" t="e">
        <f>[1]совита!F39+#REF!+#REF!</f>
        <v>#REF!</v>
      </c>
      <c r="L33" s="170" t="e">
        <f t="shared" si="2"/>
        <v>#REF!</v>
      </c>
    </row>
    <row r="34" spans="1:12" ht="15.75" x14ac:dyDescent="0.25">
      <c r="A34" s="66">
        <v>29</v>
      </c>
      <c r="B34" s="67" t="s">
        <v>75</v>
      </c>
      <c r="C34" s="64">
        <f>мун.зак.!X41</f>
        <v>3500</v>
      </c>
      <c r="D34" s="64">
        <f>бог!$B$26</f>
        <v>2640</v>
      </c>
      <c r="E34" s="158">
        <f>кмс!D36+МАКС!D36+сол!D36</f>
        <v>2987</v>
      </c>
      <c r="F34" s="159">
        <f t="shared" si="4"/>
        <v>3584</v>
      </c>
      <c r="G34" s="159">
        <f t="shared" si="7"/>
        <v>135.80000000000001</v>
      </c>
      <c r="H34" s="168">
        <f t="shared" si="8"/>
        <v>85.3</v>
      </c>
      <c r="I34" s="169" t="e">
        <f>[1]совита!D40+#REF!+#REF!</f>
        <v>#REF!</v>
      </c>
      <c r="J34" s="169" t="e">
        <f>[1]совита!E40+#REF!+#REF!</f>
        <v>#REF!</v>
      </c>
      <c r="K34" s="158" t="e">
        <f>[1]совита!F40+#REF!+#REF!</f>
        <v>#REF!</v>
      </c>
      <c r="L34" s="170">
        <f t="shared" si="2"/>
        <v>113.1</v>
      </c>
    </row>
    <row r="35" spans="1:12" ht="15.75" x14ac:dyDescent="0.25">
      <c r="A35" s="66">
        <v>30</v>
      </c>
      <c r="B35" s="67" t="s">
        <v>79</v>
      </c>
      <c r="C35" s="64">
        <f>мун.зак.!X43</f>
        <v>40000</v>
      </c>
      <c r="D35" s="64">
        <f>роддом!$B$26</f>
        <v>39600</v>
      </c>
      <c r="E35" s="158">
        <f>кмс!D40+МАКС!D40+сол!D40</f>
        <v>12011</v>
      </c>
      <c r="F35" s="159" t="e">
        <f>ROUND(E42/10*12,0)</f>
        <v>#REF!</v>
      </c>
      <c r="G35" s="159" t="e">
        <f>ROUND(F42/D42*100,1)</f>
        <v>#REF!</v>
      </c>
      <c r="H35" s="168">
        <f t="shared" si="8"/>
        <v>30</v>
      </c>
      <c r="I35" s="169" t="e">
        <f>[1]совита!D44+#REF!+#REF!</f>
        <v>#REF!</v>
      </c>
      <c r="J35" s="169" t="e">
        <f>[1]совита!E44+#REF!+#REF!</f>
        <v>#REF!</v>
      </c>
      <c r="K35" s="158" t="e">
        <f>[1]совита!F44+#REF!+#REF!</f>
        <v>#REF!</v>
      </c>
      <c r="L35" s="170">
        <f t="shared" si="2"/>
        <v>30.3</v>
      </c>
    </row>
    <row r="36" spans="1:12" ht="15.75" x14ac:dyDescent="0.25">
      <c r="A36" s="66">
        <v>31</v>
      </c>
      <c r="B36" s="67" t="s">
        <v>80</v>
      </c>
      <c r="C36" s="64">
        <f>мун.зак.!X44</f>
        <v>102000</v>
      </c>
      <c r="D36" s="64">
        <f>муз1!$B$26</f>
        <v>94919</v>
      </c>
      <c r="E36" s="158">
        <f>кмс!D41+МАКС!D41+сол!D41</f>
        <v>2401</v>
      </c>
      <c r="F36" s="159">
        <f t="shared" ref="F36:F41" si="9">ROUND(E36/10*12,0)</f>
        <v>2881</v>
      </c>
      <c r="G36" s="159">
        <f t="shared" ref="G36:G41" si="10">ROUND(F36/D36*100,1)</f>
        <v>3</v>
      </c>
      <c r="H36" s="168">
        <f t="shared" si="8"/>
        <v>2.4</v>
      </c>
      <c r="I36" s="169" t="e">
        <f>[1]совита!D45+#REF!+#REF!</f>
        <v>#REF!</v>
      </c>
      <c r="J36" s="169" t="e">
        <f>[1]совита!E45+#REF!+#REF!</f>
        <v>#REF!</v>
      </c>
      <c r="K36" s="158" t="e">
        <f>[1]совита!F45+#REF!+#REF!</f>
        <v>#REF!</v>
      </c>
      <c r="L36" s="170">
        <f t="shared" si="2"/>
        <v>2.5</v>
      </c>
    </row>
    <row r="37" spans="1:12" ht="15.75" x14ac:dyDescent="0.25">
      <c r="A37" s="66">
        <v>32</v>
      </c>
      <c r="B37" s="67" t="s">
        <v>81</v>
      </c>
      <c r="C37" s="64">
        <f>мун.зак.!X45</f>
        <v>218277</v>
      </c>
      <c r="D37" s="64">
        <f>'2МО'!$B$26</f>
        <v>211155</v>
      </c>
      <c r="E37" s="158" t="e">
        <f>кмс!#REF!+МАКС!D43+сол!D43</f>
        <v>#REF!</v>
      </c>
      <c r="F37" s="159" t="e">
        <f t="shared" si="9"/>
        <v>#REF!</v>
      </c>
      <c r="G37" s="159" t="e">
        <f t="shared" si="10"/>
        <v>#REF!</v>
      </c>
      <c r="H37" s="168" t="e">
        <f t="shared" si="8"/>
        <v>#REF!</v>
      </c>
      <c r="I37" s="169" t="e">
        <f>[1]совита!D46+#REF!+#REF!</f>
        <v>#REF!</v>
      </c>
      <c r="J37" s="169" t="e">
        <f>[1]совита!E46+#REF!+#REF!</f>
        <v>#REF!</v>
      </c>
      <c r="K37" s="158" t="e">
        <f>[1]совита!F46+#REF!+#REF!</f>
        <v>#REF!</v>
      </c>
      <c r="L37" s="170" t="e">
        <f t="shared" si="2"/>
        <v>#REF!</v>
      </c>
    </row>
    <row r="38" spans="1:12" ht="15.75" x14ac:dyDescent="0.25">
      <c r="A38" s="66">
        <v>33</v>
      </c>
      <c r="B38" s="67" t="s">
        <v>82</v>
      </c>
      <c r="C38" s="64" t="e">
        <f>мун.зак.!#REF!</f>
        <v>#REF!</v>
      </c>
      <c r="D38" s="64">
        <f>дет!$B$26</f>
        <v>64907</v>
      </c>
      <c r="E38" s="158" t="e">
        <f>кмс!#REF!+МАКС!D44+сол!D44</f>
        <v>#REF!</v>
      </c>
      <c r="F38" s="159" t="e">
        <f t="shared" si="9"/>
        <v>#REF!</v>
      </c>
      <c r="G38" s="159" t="e">
        <f t="shared" si="10"/>
        <v>#REF!</v>
      </c>
      <c r="H38" s="168" t="e">
        <f t="shared" si="8"/>
        <v>#REF!</v>
      </c>
      <c r="I38" s="169" t="e">
        <f>[1]совита!D47+#REF!+#REF!</f>
        <v>#REF!</v>
      </c>
      <c r="J38" s="169" t="e">
        <f>[1]совита!E47+#REF!+#REF!</f>
        <v>#REF!</v>
      </c>
      <c r="K38" s="158" t="e">
        <f>[1]совита!F47+#REF!+#REF!</f>
        <v>#REF!</v>
      </c>
      <c r="L38" s="170" t="e">
        <f t="shared" si="2"/>
        <v>#REF!</v>
      </c>
    </row>
    <row r="39" spans="1:12" ht="15.75" x14ac:dyDescent="0.25">
      <c r="A39" s="66">
        <v>34</v>
      </c>
      <c r="B39" s="77" t="s">
        <v>87</v>
      </c>
      <c r="C39" s="64" t="e">
        <f>мун.зак.!#REF!</f>
        <v>#REF!</v>
      </c>
      <c r="D39" s="64">
        <f>волг!$B$26</f>
        <v>25984</v>
      </c>
      <c r="E39" s="158" t="e">
        <f>кмс!D55+МАКС!#REF!+сол!#REF!</f>
        <v>#REF!</v>
      </c>
      <c r="F39" s="159" t="e">
        <f t="shared" si="9"/>
        <v>#REF!</v>
      </c>
      <c r="G39" s="159" t="e">
        <f t="shared" si="10"/>
        <v>#REF!</v>
      </c>
      <c r="H39" s="168" t="e">
        <f t="shared" si="8"/>
        <v>#REF!</v>
      </c>
      <c r="I39" s="169" t="e">
        <f>[1]совита!D61+#REF!+#REF!</f>
        <v>#REF!</v>
      </c>
      <c r="J39" s="169" t="e">
        <f>[1]совита!E61+#REF!+#REF!</f>
        <v>#REF!</v>
      </c>
      <c r="K39" s="158" t="e">
        <f>[1]совита!F61+#REF!+#REF!</f>
        <v>#REF!</v>
      </c>
      <c r="L39" s="170" t="e">
        <f t="shared" si="2"/>
        <v>#REF!</v>
      </c>
    </row>
    <row r="40" spans="1:12" ht="15.75" x14ac:dyDescent="0.25">
      <c r="A40" s="67">
        <v>35</v>
      </c>
      <c r="B40" s="77" t="s">
        <v>88</v>
      </c>
      <c r="C40" s="64" t="e">
        <f>мун.зак.!#REF!</f>
        <v>#REF!</v>
      </c>
      <c r="D40" s="64">
        <f>костр!$B$26</f>
        <v>56731</v>
      </c>
      <c r="E40" s="158">
        <f>кмс!D56+МАКС!D58+сол!D58</f>
        <v>3381</v>
      </c>
      <c r="F40" s="159">
        <f t="shared" si="9"/>
        <v>4057</v>
      </c>
      <c r="G40" s="159">
        <f t="shared" si="10"/>
        <v>7.2</v>
      </c>
      <c r="H40" s="168" t="e">
        <f t="shared" si="8"/>
        <v>#REF!</v>
      </c>
      <c r="I40" s="169" t="e">
        <f>[1]совита!D62+#REF!+#REF!</f>
        <v>#REF!</v>
      </c>
      <c r="J40" s="169" t="e">
        <f>[1]совита!E62+#REF!+#REF!</f>
        <v>#REF!</v>
      </c>
      <c r="K40" s="158" t="e">
        <f>[1]совита!F62+#REF!+#REF!</f>
        <v>#REF!</v>
      </c>
      <c r="L40" s="170">
        <f t="shared" si="2"/>
        <v>6</v>
      </c>
    </row>
    <row r="41" spans="1:12" ht="15.75" x14ac:dyDescent="0.25">
      <c r="A41" s="67">
        <v>36</v>
      </c>
      <c r="B41" s="77" t="s">
        <v>89</v>
      </c>
      <c r="C41" s="64">
        <f>мун.зак.!X52</f>
        <v>3500</v>
      </c>
      <c r="D41" s="64">
        <f>красное!$B$26</f>
        <v>2916</v>
      </c>
      <c r="E41" s="158">
        <f>кмс!D57+МАКС!D59+сол!D59</f>
        <v>1933</v>
      </c>
      <c r="F41" s="159">
        <f t="shared" si="9"/>
        <v>2320</v>
      </c>
      <c r="G41" s="159">
        <f t="shared" si="10"/>
        <v>79.599999999999994</v>
      </c>
      <c r="H41" s="168">
        <f t="shared" si="8"/>
        <v>55.2</v>
      </c>
      <c r="I41" s="169" t="e">
        <f>[1]совита!D63+#REF!+#REF!</f>
        <v>#REF!</v>
      </c>
      <c r="J41" s="169" t="e">
        <f>[1]совита!E63+#REF!+#REF!</f>
        <v>#REF!</v>
      </c>
      <c r="K41" s="158" t="e">
        <f>[1]совита!F63+#REF!+#REF!</f>
        <v>#REF!</v>
      </c>
      <c r="L41" s="170">
        <f t="shared" si="2"/>
        <v>66.3</v>
      </c>
    </row>
    <row r="42" spans="1:12" ht="15.75" x14ac:dyDescent="0.25">
      <c r="A42" s="66">
        <v>37</v>
      </c>
      <c r="B42" s="77" t="s">
        <v>90</v>
      </c>
      <c r="C42" s="64">
        <f>мун.зак.!X53</f>
        <v>44000</v>
      </c>
      <c r="D42" s="64">
        <f>нерехта!$B$26</f>
        <v>37852</v>
      </c>
      <c r="E42" s="158" t="e">
        <f>кмс!#REF!+МАКС!D60+сол!D60</f>
        <v>#REF!</v>
      </c>
      <c r="F42" s="159" t="e">
        <f>ROUND(#REF!/10*12,0)</f>
        <v>#REF!</v>
      </c>
      <c r="G42" s="159" t="e">
        <f>ROUND(#REF!/#REF!*100,1)</f>
        <v>#REF!</v>
      </c>
      <c r="H42" s="168" t="e">
        <f t="shared" si="8"/>
        <v>#REF!</v>
      </c>
      <c r="I42" s="169" t="e">
        <f>[1]совита!D64+#REF!+#REF!</f>
        <v>#REF!</v>
      </c>
      <c r="J42" s="169" t="e">
        <f>[1]совита!E64+#REF!+#REF!</f>
        <v>#REF!</v>
      </c>
      <c r="K42" s="158" t="e">
        <f>[1]совита!F64+#REF!+#REF!</f>
        <v>#REF!</v>
      </c>
      <c r="L42" s="170" t="e">
        <f t="shared" si="2"/>
        <v>#REF!</v>
      </c>
    </row>
    <row r="43" spans="1:12" ht="15.75" x14ac:dyDescent="0.25">
      <c r="A43" s="66">
        <v>38</v>
      </c>
      <c r="B43" s="77" t="s">
        <v>92</v>
      </c>
      <c r="C43" s="64">
        <f>мун.зак.!X55</f>
        <v>6000</v>
      </c>
      <c r="D43" s="64">
        <f>остр!$B$26</f>
        <v>6959</v>
      </c>
      <c r="E43" s="158" t="e">
        <f>кмс!D59+МАКС!#REF!+сол!#REF!</f>
        <v>#REF!</v>
      </c>
      <c r="F43" s="159" t="e">
        <f>ROUND(E43/10*12,0)</f>
        <v>#REF!</v>
      </c>
      <c r="G43" s="159" t="e">
        <f t="shared" ref="G43:G48" si="11">ROUND(F43/D43*100,1)</f>
        <v>#REF!</v>
      </c>
      <c r="H43" s="168" t="e">
        <f t="shared" si="8"/>
        <v>#REF!</v>
      </c>
      <c r="I43" s="169" t="e">
        <f>[1]совита!D68+#REF!+#REF!</f>
        <v>#REF!</v>
      </c>
      <c r="J43" s="169" t="e">
        <f>[1]совита!E68+#REF!+#REF!</f>
        <v>#REF!</v>
      </c>
      <c r="K43" s="158" t="e">
        <f>[1]совита!F68+#REF!+#REF!</f>
        <v>#REF!</v>
      </c>
      <c r="L43" s="170" t="e">
        <f t="shared" si="2"/>
        <v>#REF!</v>
      </c>
    </row>
    <row r="44" spans="1:12" ht="15.75" x14ac:dyDescent="0.25">
      <c r="A44" s="66">
        <v>39</v>
      </c>
      <c r="B44" s="77" t="s">
        <v>93</v>
      </c>
      <c r="C44" s="64">
        <f>мун.зак.!X56</f>
        <v>5000</v>
      </c>
      <c r="D44" s="64">
        <f>судисл!$B$26</f>
        <v>3436</v>
      </c>
      <c r="E44" s="158">
        <f>кмс!D60+МАКС!D62+сол!D62</f>
        <v>0</v>
      </c>
      <c r="F44" s="159">
        <f>ROUND(E44/10*12,0)</f>
        <v>0</v>
      </c>
      <c r="G44" s="159">
        <f t="shared" si="11"/>
        <v>0</v>
      </c>
      <c r="H44" s="168">
        <f t="shared" si="8"/>
        <v>0</v>
      </c>
      <c r="I44" s="169" t="e">
        <f>[1]совита!D69+#REF!+#REF!</f>
        <v>#REF!</v>
      </c>
      <c r="J44" s="169" t="e">
        <f>[1]совита!E69+#REF!+#REF!</f>
        <v>#REF!</v>
      </c>
      <c r="K44" s="158" t="e">
        <f>[1]совита!F69+#REF!+#REF!</f>
        <v>#REF!</v>
      </c>
      <c r="L44" s="170">
        <f t="shared" si="2"/>
        <v>0</v>
      </c>
    </row>
    <row r="45" spans="1:12" ht="15.75" x14ac:dyDescent="0.25">
      <c r="A45" s="66">
        <v>40</v>
      </c>
      <c r="B45" s="78" t="s">
        <v>94</v>
      </c>
      <c r="C45" s="64" t="e">
        <f>мун.зак.!#REF!</f>
        <v>#REF!</v>
      </c>
      <c r="D45" s="64">
        <f>сус!$B$26</f>
        <v>2627</v>
      </c>
      <c r="E45" s="158">
        <f>кмс!D61+МАКС!D63+сол!D63</f>
        <v>0</v>
      </c>
      <c r="F45" s="159">
        <f>ROUND(E45/10*12,0)</f>
        <v>0</v>
      </c>
      <c r="G45" s="159">
        <f t="shared" si="11"/>
        <v>0</v>
      </c>
      <c r="H45" s="168" t="e">
        <f t="shared" si="8"/>
        <v>#REF!</v>
      </c>
      <c r="I45" s="169" t="e">
        <f>[1]совита!D70+#REF!+#REF!</f>
        <v>#REF!</v>
      </c>
      <c r="J45" s="169" t="e">
        <f>[1]совита!E70+#REF!+#REF!</f>
        <v>#REF!</v>
      </c>
      <c r="K45" s="158" t="e">
        <f>[1]совита!F70+#REF!+#REF!</f>
        <v>#REF!</v>
      </c>
      <c r="L45" s="170">
        <f t="shared" si="2"/>
        <v>0</v>
      </c>
    </row>
    <row r="46" spans="1:12" ht="15.75" x14ac:dyDescent="0.25">
      <c r="A46" s="418" t="s">
        <v>122</v>
      </c>
      <c r="B46" s="419"/>
      <c r="C46" s="148">
        <f>SUM(C47:C47)</f>
        <v>3373</v>
      </c>
      <c r="D46" s="148">
        <f>SUM(D47:D47)</f>
        <v>3073</v>
      </c>
      <c r="E46" s="148">
        <f>SUM(E47:E47)</f>
        <v>3860</v>
      </c>
      <c r="F46" s="171">
        <f>SUM(F47:F47)</f>
        <v>4632</v>
      </c>
      <c r="G46" s="62">
        <f t="shared" si="11"/>
        <v>150.69999999999999</v>
      </c>
      <c r="H46" s="206">
        <f t="shared" si="8"/>
        <v>114.4</v>
      </c>
      <c r="I46" s="172" t="e">
        <f>SUM(I47:I47)</f>
        <v>#REF!</v>
      </c>
      <c r="J46" s="172" t="e">
        <f>SUM(J47:J47)</f>
        <v>#REF!</v>
      </c>
      <c r="K46" s="171" t="e">
        <f>SUM(K47:K47)</f>
        <v>#REF!</v>
      </c>
      <c r="L46" s="167">
        <f t="shared" si="2"/>
        <v>125.6</v>
      </c>
    </row>
    <row r="47" spans="1:12" ht="16.5" thickBot="1" x14ac:dyDescent="0.3">
      <c r="A47" s="66">
        <v>41</v>
      </c>
      <c r="B47" s="67" t="s">
        <v>86</v>
      </c>
      <c r="C47" s="64">
        <f>увд!$B$27</f>
        <v>3373</v>
      </c>
      <c r="D47" s="64">
        <f>увд!$B$26</f>
        <v>3073</v>
      </c>
      <c r="E47" s="158">
        <f>кмс!D54+МАКС!D57+сол!D57</f>
        <v>3860</v>
      </c>
      <c r="F47" s="159">
        <f>ROUND(E47/10*12,0)</f>
        <v>4632</v>
      </c>
      <c r="G47" s="159">
        <f t="shared" si="11"/>
        <v>150.69999999999999</v>
      </c>
      <c r="H47" s="168">
        <f t="shared" si="8"/>
        <v>114.4</v>
      </c>
      <c r="I47" s="169" t="e">
        <f>[1]совита!D59+#REF!+#REF!</f>
        <v>#REF!</v>
      </c>
      <c r="J47" s="169" t="e">
        <f>[1]совита!E59+#REF!+#REF!</f>
        <v>#REF!</v>
      </c>
      <c r="K47" s="158" t="e">
        <f>[1]совита!F59+#REF!+#REF!</f>
        <v>#REF!</v>
      </c>
      <c r="L47" s="170">
        <f t="shared" si="2"/>
        <v>125.6</v>
      </c>
    </row>
    <row r="48" spans="1:12" ht="15.75" x14ac:dyDescent="0.25">
      <c r="A48" s="1"/>
      <c r="B48" s="94" t="s">
        <v>95</v>
      </c>
      <c r="C48" s="79" t="e">
        <f>SUM(C12+C6+C46)</f>
        <v>#REF!</v>
      </c>
      <c r="D48" s="79">
        <f>SUM(D12+D6+D46)</f>
        <v>1149447</v>
      </c>
      <c r="E48" s="79" t="e">
        <f>SUM(E12+E6+E46)</f>
        <v>#REF!</v>
      </c>
      <c r="F48" s="79" t="e">
        <f>SUM(F12+F6+F46)</f>
        <v>#REF!</v>
      </c>
      <c r="G48" s="81" t="e">
        <f t="shared" si="11"/>
        <v>#REF!</v>
      </c>
      <c r="H48" s="173" t="e">
        <f t="shared" si="8"/>
        <v>#REF!</v>
      </c>
      <c r="I48" s="80" t="e">
        <f>SUM(I12+I6+I46)</f>
        <v>#REF!</v>
      </c>
      <c r="J48" s="80" t="e">
        <f>SUM(J12+J6+J46)</f>
        <v>#REF!</v>
      </c>
      <c r="K48" s="79" t="e">
        <f>SUM(K12+K6+K46)</f>
        <v>#REF!</v>
      </c>
      <c r="L48" s="173" t="e">
        <f>ROUND(E48/D48*100,1)</f>
        <v>#REF!</v>
      </c>
    </row>
    <row r="50" spans="4:5" x14ac:dyDescent="0.2">
      <c r="D50" s="90">
        <f>кмс!C69+МАКС!C72+сол!C72</f>
        <v>0</v>
      </c>
      <c r="E50" s="90">
        <f>кмс!D69+МАКС!D72+сол!D72</f>
        <v>0</v>
      </c>
    </row>
    <row r="51" spans="4:5" x14ac:dyDescent="0.2">
      <c r="D51" s="90">
        <f>D50-D48</f>
        <v>-1149447</v>
      </c>
    </row>
  </sheetData>
  <mergeCells count="7">
    <mergeCell ref="A1:L1"/>
    <mergeCell ref="A2:L2"/>
    <mergeCell ref="A6:B6"/>
    <mergeCell ref="A46:B46"/>
    <mergeCell ref="A4:B4"/>
    <mergeCell ref="A12:B12"/>
    <mergeCell ref="C3:K3"/>
  </mergeCells>
  <phoneticPr fontId="0" type="noConversion"/>
  <pageMargins left="0" right="0" top="0" bottom="0" header="0" footer="0"/>
  <pageSetup paperSize="9" scale="91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90" workbookViewId="0">
      <pane xSplit="2" ySplit="5" topLeftCell="C39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 x14ac:dyDescent="0.2"/>
  <cols>
    <col min="1" max="1" width="4" customWidth="1"/>
    <col min="2" max="2" width="37" customWidth="1"/>
    <col min="3" max="3" width="16.28515625" customWidth="1"/>
    <col min="4" max="4" width="15.28515625" customWidth="1"/>
    <col min="5" max="6" width="14.28515625" customWidth="1"/>
    <col min="7" max="7" width="11.7109375" customWidth="1"/>
    <col min="8" max="8" width="10.42578125" bestFit="1" customWidth="1"/>
  </cols>
  <sheetData>
    <row r="1" spans="1:20" ht="19.5" thickBot="1" x14ac:dyDescent="0.35">
      <c r="A1" s="378" t="s">
        <v>132</v>
      </c>
      <c r="B1" s="378"/>
      <c r="C1" s="378"/>
      <c r="D1" s="378"/>
      <c r="E1" s="378"/>
      <c r="F1" s="378"/>
      <c r="G1" s="378"/>
    </row>
    <row r="2" spans="1:20" ht="16.5" hidden="1" thickBot="1" x14ac:dyDescent="0.3">
      <c r="A2" s="382" t="s">
        <v>104</v>
      </c>
      <c r="B2" s="383"/>
      <c r="C2" s="383"/>
      <c r="D2" s="383"/>
      <c r="E2" s="383"/>
      <c r="F2" s="383"/>
      <c r="G2" s="383"/>
    </row>
    <row r="3" spans="1:20" ht="15.6" customHeight="1" thickBot="1" x14ac:dyDescent="0.35">
      <c r="A3" s="34"/>
      <c r="B3" s="35"/>
      <c r="C3" s="384" t="s">
        <v>1</v>
      </c>
      <c r="D3" s="385"/>
      <c r="E3" s="385"/>
      <c r="F3" s="385"/>
      <c r="G3" s="422"/>
    </row>
    <row r="4" spans="1:20" ht="15.75" x14ac:dyDescent="0.25">
      <c r="A4" s="393" t="s">
        <v>41</v>
      </c>
      <c r="B4" s="394"/>
      <c r="C4" s="37" t="s">
        <v>40</v>
      </c>
      <c r="D4" s="37" t="s">
        <v>40</v>
      </c>
      <c r="E4" s="37" t="s">
        <v>42</v>
      </c>
      <c r="F4" s="38" t="s">
        <v>39</v>
      </c>
      <c r="G4" s="175" t="s">
        <v>39</v>
      </c>
    </row>
    <row r="5" spans="1:20" ht="15.75" thickBot="1" x14ac:dyDescent="0.25">
      <c r="A5" s="47"/>
      <c r="B5" s="48"/>
      <c r="C5" s="49" t="s">
        <v>15</v>
      </c>
      <c r="D5" s="49" t="s">
        <v>36</v>
      </c>
      <c r="E5" s="51" t="s">
        <v>36</v>
      </c>
      <c r="F5" s="50" t="s">
        <v>129</v>
      </c>
      <c r="G5" s="51" t="s">
        <v>133</v>
      </c>
    </row>
    <row r="6" spans="1:20" ht="16.5" x14ac:dyDescent="0.25">
      <c r="A6" s="403" t="s">
        <v>124</v>
      </c>
      <c r="B6" s="404"/>
      <c r="C6" s="154">
        <f>SUM(C7:C11)</f>
        <v>43279</v>
      </c>
      <c r="D6" s="144">
        <f>SUM(D7:D11)</f>
        <v>50236</v>
      </c>
      <c r="E6" s="145">
        <f>SUM(E7:E11)</f>
        <v>47995</v>
      </c>
      <c r="F6" s="139">
        <f t="shared" ref="F6:F11" si="0">ROUND(E6/C6*100,1)</f>
        <v>110.9</v>
      </c>
      <c r="G6" s="146">
        <f t="shared" ref="G6:G11" si="1">ROUND(E6/D6*100,1)</f>
        <v>95.5</v>
      </c>
    </row>
    <row r="7" spans="1:20" ht="16.5" x14ac:dyDescent="0.25">
      <c r="A7" s="66">
        <v>1</v>
      </c>
      <c r="B7" s="141" t="s">
        <v>121</v>
      </c>
      <c r="C7" s="208">
        <f>областн!$F$27</f>
        <v>0</v>
      </c>
      <c r="D7" s="64">
        <f>областн!$F$26</f>
        <v>0</v>
      </c>
      <c r="E7" s="189">
        <f>мун.зак.!G7</f>
        <v>0</v>
      </c>
      <c r="F7" s="105"/>
      <c r="G7" s="105"/>
    </row>
    <row r="8" spans="1:20" ht="16.5" x14ac:dyDescent="0.25">
      <c r="A8" s="66">
        <v>2</v>
      </c>
      <c r="B8" s="141" t="s">
        <v>120</v>
      </c>
      <c r="C8" s="87">
        <v>10200</v>
      </c>
      <c r="D8" s="64">
        <f>госп!$F$26</f>
        <v>8490</v>
      </c>
      <c r="E8" s="189">
        <f>мун.зак.!G8</f>
        <v>8574</v>
      </c>
      <c r="F8" s="105">
        <f t="shared" si="0"/>
        <v>84.1</v>
      </c>
      <c r="G8" s="105">
        <f t="shared" si="1"/>
        <v>101</v>
      </c>
    </row>
    <row r="9" spans="1:20" ht="16.5" x14ac:dyDescent="0.25">
      <c r="A9" s="66">
        <v>3</v>
      </c>
      <c r="B9" s="141" t="s">
        <v>119</v>
      </c>
      <c r="C9" s="87">
        <v>18000</v>
      </c>
      <c r="D9" s="64">
        <f>кард!$F$26</f>
        <v>16955</v>
      </c>
      <c r="E9" s="189">
        <f>мун.зак.!G9</f>
        <v>16357</v>
      </c>
      <c r="F9" s="105">
        <f t="shared" si="0"/>
        <v>90.9</v>
      </c>
      <c r="G9" s="105">
        <f t="shared" si="1"/>
        <v>96.5</v>
      </c>
    </row>
    <row r="10" spans="1:20" ht="16.5" x14ac:dyDescent="0.25">
      <c r="A10" s="66">
        <v>4</v>
      </c>
      <c r="B10" s="141" t="s">
        <v>116</v>
      </c>
      <c r="C10" s="87">
        <v>7279</v>
      </c>
      <c r="D10" s="64">
        <f>кожн!$F$26</f>
        <v>7650</v>
      </c>
      <c r="E10" s="189">
        <f>мун.зак.!G10</f>
        <v>8118</v>
      </c>
      <c r="F10" s="105">
        <f t="shared" si="0"/>
        <v>111.5</v>
      </c>
      <c r="G10" s="105">
        <f t="shared" si="1"/>
        <v>106.1</v>
      </c>
    </row>
    <row r="11" spans="1:20" ht="16.5" x14ac:dyDescent="0.25">
      <c r="A11" s="66">
        <v>5</v>
      </c>
      <c r="B11" s="141" t="s">
        <v>117</v>
      </c>
      <c r="C11" s="87">
        <f>7200+600</f>
        <v>7800</v>
      </c>
      <c r="D11" s="64">
        <f>ОНКО!$F$26</f>
        <v>17141</v>
      </c>
      <c r="E11" s="189">
        <f>мун.зак.!G11</f>
        <v>14946</v>
      </c>
      <c r="F11" s="105">
        <f t="shared" si="0"/>
        <v>191.6</v>
      </c>
      <c r="G11" s="105">
        <f t="shared" si="1"/>
        <v>87.2</v>
      </c>
    </row>
    <row r="12" spans="1:20" ht="16.5" x14ac:dyDescent="0.25">
      <c r="A12" s="420" t="s">
        <v>123</v>
      </c>
      <c r="B12" s="421"/>
      <c r="C12" s="209">
        <f>SUM(C13:C45)</f>
        <v>280697</v>
      </c>
      <c r="D12" s="61">
        <f>SUM(D13:D45)</f>
        <v>330221</v>
      </c>
      <c r="E12" s="61" t="e">
        <f>SUM(E13:E45)</f>
        <v>#REF!</v>
      </c>
      <c r="F12" s="139" t="e">
        <f t="shared" ref="F12:F50" si="2">ROUND(E12/C12*100,1)</f>
        <v>#REF!</v>
      </c>
      <c r="G12" s="139" t="e">
        <f t="shared" ref="G12:G21" si="3">ROUND(E12/D12*100,1)</f>
        <v>#REF!</v>
      </c>
      <c r="H12" s="163"/>
      <c r="I12" s="96">
        <f>SUM(I13:I45)</f>
        <v>0</v>
      </c>
      <c r="J12" s="61">
        <f>SUM(J13:J45)</f>
        <v>0</v>
      </c>
      <c r="K12" s="95">
        <f>SUM(K13:K45)</f>
        <v>0</v>
      </c>
      <c r="L12" s="61" t="e">
        <f>SUM(L13:L45)-#REF!</f>
        <v>#REF!</v>
      </c>
      <c r="M12" s="61" t="e">
        <f>SUM(M13:M45)-#REF!</f>
        <v>#REF!</v>
      </c>
      <c r="N12" s="61">
        <f>SUM(N13:N45)</f>
        <v>0</v>
      </c>
      <c r="O12" s="126" t="e">
        <f>ROUND(N12/L12*100,1)</f>
        <v>#REF!</v>
      </c>
      <c r="P12" s="139" t="e">
        <f>ROUND(M12/L12*100,1)</f>
        <v>#REF!</v>
      </c>
      <c r="Q12" s="61">
        <f>SUM(Q13:Q45)</f>
        <v>0</v>
      </c>
      <c r="R12" s="61">
        <f>SUM(N13:N45)</f>
        <v>0</v>
      </c>
      <c r="S12" s="61">
        <f>SUM(S13:S45)</f>
        <v>0</v>
      </c>
      <c r="T12" s="61" t="e">
        <f>SUM(T13:T45)-#REF!</f>
        <v>#REF!</v>
      </c>
    </row>
    <row r="13" spans="1:20" ht="16.5" x14ac:dyDescent="0.25">
      <c r="A13" s="140">
        <v>6</v>
      </c>
      <c r="B13" s="63" t="s">
        <v>54</v>
      </c>
      <c r="C13" s="87">
        <v>3400</v>
      </c>
      <c r="D13" s="64">
        <f>ант!$F$26</f>
        <v>4312</v>
      </c>
      <c r="E13" s="189">
        <f>мун.зак.!G17</f>
        <v>2587</v>
      </c>
      <c r="F13" s="105">
        <f t="shared" si="2"/>
        <v>76.099999999999994</v>
      </c>
      <c r="G13" s="105">
        <f t="shared" si="3"/>
        <v>60</v>
      </c>
    </row>
    <row r="14" spans="1:20" ht="16.5" x14ac:dyDescent="0.25">
      <c r="A14" s="66">
        <v>7</v>
      </c>
      <c r="B14" s="67" t="s">
        <v>55</v>
      </c>
      <c r="C14" s="87">
        <v>8500</v>
      </c>
      <c r="D14" s="64">
        <f>буй!$F$26</f>
        <v>9168</v>
      </c>
      <c r="E14" s="189">
        <f>мун.зак.!G18</f>
        <v>8156</v>
      </c>
      <c r="F14" s="105">
        <f t="shared" si="2"/>
        <v>96</v>
      </c>
      <c r="G14" s="105">
        <f t="shared" si="3"/>
        <v>89</v>
      </c>
    </row>
    <row r="15" spans="1:20" ht="16.5" x14ac:dyDescent="0.25">
      <c r="A15" s="66">
        <v>8</v>
      </c>
      <c r="B15" s="67" t="s">
        <v>56</v>
      </c>
      <c r="C15" s="87">
        <v>5800</v>
      </c>
      <c r="D15" s="64">
        <f>гавр!$F$26</f>
        <v>7616</v>
      </c>
      <c r="E15" s="189">
        <f>мун.зак.!G19</f>
        <v>5781</v>
      </c>
      <c r="F15" s="105">
        <f t="shared" si="2"/>
        <v>99.7</v>
      </c>
      <c r="G15" s="105">
        <f t="shared" si="3"/>
        <v>75.900000000000006</v>
      </c>
    </row>
    <row r="16" spans="1:20" ht="16.5" x14ac:dyDescent="0.25">
      <c r="A16" s="66">
        <v>9</v>
      </c>
      <c r="B16" s="67" t="s">
        <v>108</v>
      </c>
      <c r="C16" s="87">
        <v>7000</v>
      </c>
      <c r="D16" s="64">
        <f>галич!$F$26</f>
        <v>7790</v>
      </c>
      <c r="E16" s="189">
        <f>мун.зак.!G20</f>
        <v>6087</v>
      </c>
      <c r="F16" s="105">
        <f t="shared" si="2"/>
        <v>87</v>
      </c>
      <c r="G16" s="105">
        <f t="shared" si="3"/>
        <v>78.099999999999994</v>
      </c>
    </row>
    <row r="17" spans="1:8" ht="16.5" x14ac:dyDescent="0.25">
      <c r="A17" s="66">
        <v>10</v>
      </c>
      <c r="B17" s="67" t="s">
        <v>57</v>
      </c>
      <c r="C17" s="87">
        <v>4560</v>
      </c>
      <c r="D17" s="64">
        <f>орех!$F$26</f>
        <v>4560</v>
      </c>
      <c r="E17" s="189">
        <f>мун.зак.!G21</f>
        <v>4103</v>
      </c>
      <c r="F17" s="105">
        <f t="shared" si="2"/>
        <v>90</v>
      </c>
      <c r="G17" s="105">
        <f t="shared" si="3"/>
        <v>90</v>
      </c>
    </row>
    <row r="18" spans="1:8" ht="16.5" x14ac:dyDescent="0.25">
      <c r="A18" s="66">
        <v>11</v>
      </c>
      <c r="B18" s="67" t="s">
        <v>58</v>
      </c>
      <c r="C18" s="87">
        <v>2900</v>
      </c>
      <c r="D18" s="64">
        <f>пар!$F$26</f>
        <v>4075</v>
      </c>
      <c r="E18" s="189">
        <f>мун.зак.!G22</f>
        <v>2965</v>
      </c>
      <c r="F18" s="105">
        <f t="shared" si="2"/>
        <v>102.2</v>
      </c>
      <c r="G18" s="105">
        <f t="shared" si="3"/>
        <v>72.8</v>
      </c>
    </row>
    <row r="19" spans="1:8" ht="16.5" x14ac:dyDescent="0.25">
      <c r="A19" s="66">
        <v>12</v>
      </c>
      <c r="B19" s="67" t="s">
        <v>59</v>
      </c>
      <c r="C19" s="87">
        <v>3200</v>
      </c>
      <c r="D19" s="64">
        <f>солиг!$F$26</f>
        <v>4490</v>
      </c>
      <c r="E19" s="189">
        <f>мун.зак.!G23</f>
        <v>3597</v>
      </c>
      <c r="F19" s="105">
        <f t="shared" si="2"/>
        <v>112.4</v>
      </c>
      <c r="G19" s="105">
        <f t="shared" si="3"/>
        <v>80.099999999999994</v>
      </c>
    </row>
    <row r="20" spans="1:8" ht="16.5" x14ac:dyDescent="0.25">
      <c r="A20" s="66">
        <v>13</v>
      </c>
      <c r="B20" s="67" t="s">
        <v>60</v>
      </c>
      <c r="C20" s="87">
        <v>4150</v>
      </c>
      <c r="D20" s="64">
        <f>чухл!$F$26</f>
        <v>3251</v>
      </c>
      <c r="E20" s="189">
        <f>мун.зак.!G24</f>
        <v>928</v>
      </c>
      <c r="F20" s="105">
        <f t="shared" si="2"/>
        <v>22.4</v>
      </c>
      <c r="G20" s="105">
        <f t="shared" si="3"/>
        <v>28.5</v>
      </c>
    </row>
    <row r="21" spans="1:8" ht="16.5" x14ac:dyDescent="0.25">
      <c r="A21" s="66">
        <v>14</v>
      </c>
      <c r="B21" s="67" t="s">
        <v>61</v>
      </c>
      <c r="C21" s="87">
        <v>3220</v>
      </c>
      <c r="D21" s="64">
        <f>кадый!$F$26</f>
        <v>4815</v>
      </c>
      <c r="E21" s="189">
        <f>мун.зак.!G27</f>
        <v>4229</v>
      </c>
      <c r="F21" s="105">
        <f t="shared" si="2"/>
        <v>131.30000000000001</v>
      </c>
      <c r="G21" s="105">
        <f t="shared" si="3"/>
        <v>87.8</v>
      </c>
    </row>
    <row r="22" spans="1:8" ht="16.5" x14ac:dyDescent="0.25">
      <c r="A22" s="66">
        <v>15</v>
      </c>
      <c r="B22" s="67" t="s">
        <v>63</v>
      </c>
      <c r="C22" s="87">
        <v>2600</v>
      </c>
      <c r="D22" s="64">
        <f>кол!$F$26</f>
        <v>3920</v>
      </c>
      <c r="E22" s="189">
        <f>мун.зак.!G28</f>
        <v>1287</v>
      </c>
      <c r="F22" s="105">
        <f t="shared" si="2"/>
        <v>49.5</v>
      </c>
      <c r="G22" s="105">
        <f t="shared" ref="G22:G28" si="4">ROUND(E22/D22*100,1)</f>
        <v>32.799999999999997</v>
      </c>
    </row>
    <row r="23" spans="1:8" ht="16.5" x14ac:dyDescent="0.25">
      <c r="A23" s="66">
        <v>16</v>
      </c>
      <c r="B23" s="67" t="s">
        <v>64</v>
      </c>
      <c r="C23" s="87">
        <v>7500</v>
      </c>
      <c r="D23" s="64">
        <f>мак!$F$26</f>
        <v>11837</v>
      </c>
      <c r="E23" s="189">
        <f>мун.зак.!G29</f>
        <v>9323</v>
      </c>
      <c r="F23" s="105">
        <f t="shared" si="2"/>
        <v>124.3</v>
      </c>
      <c r="G23" s="105">
        <f t="shared" si="4"/>
        <v>78.8</v>
      </c>
    </row>
    <row r="24" spans="1:8" ht="15.4" customHeight="1" x14ac:dyDescent="0.25">
      <c r="A24" s="66">
        <v>17</v>
      </c>
      <c r="B24" s="67" t="s">
        <v>109</v>
      </c>
      <c r="C24" s="87">
        <v>8000</v>
      </c>
      <c r="D24" s="64">
        <f>мант!$F$26</f>
        <v>8415</v>
      </c>
      <c r="E24" s="189">
        <f>мун.зак.!G30</f>
        <v>9032</v>
      </c>
      <c r="F24" s="105">
        <f t="shared" si="2"/>
        <v>112.9</v>
      </c>
      <c r="G24" s="105">
        <f t="shared" si="4"/>
        <v>107.3</v>
      </c>
    </row>
    <row r="25" spans="1:8" ht="16.5" x14ac:dyDescent="0.25">
      <c r="A25" s="66">
        <v>18</v>
      </c>
      <c r="B25" s="67" t="s">
        <v>65</v>
      </c>
      <c r="C25" s="87">
        <f>1750+400</f>
        <v>2150</v>
      </c>
      <c r="D25" s="64">
        <f>спас!$F$26</f>
        <v>2964</v>
      </c>
      <c r="E25" s="189">
        <f>мун.зак.!G31</f>
        <v>3036</v>
      </c>
      <c r="F25" s="105">
        <f t="shared" si="2"/>
        <v>141.19999999999999</v>
      </c>
      <c r="G25" s="105">
        <f t="shared" si="4"/>
        <v>102.4</v>
      </c>
      <c r="H25" s="113"/>
    </row>
    <row r="26" spans="1:8" ht="16.5" x14ac:dyDescent="0.25">
      <c r="A26" s="66">
        <v>20</v>
      </c>
      <c r="B26" s="67" t="s">
        <v>66</v>
      </c>
      <c r="C26" s="87">
        <v>2000</v>
      </c>
      <c r="D26" s="64">
        <f>межа!$F$26</f>
        <v>4020</v>
      </c>
      <c r="E26" s="189">
        <f>мун.зак.!G32</f>
        <v>4215</v>
      </c>
      <c r="F26" s="105">
        <f t="shared" si="2"/>
        <v>210.8</v>
      </c>
      <c r="G26" s="105">
        <f t="shared" si="4"/>
        <v>104.9</v>
      </c>
    </row>
    <row r="27" spans="1:8" ht="16.5" x14ac:dyDescent="0.25">
      <c r="A27" s="66">
        <v>21</v>
      </c>
      <c r="B27" s="67" t="s">
        <v>67</v>
      </c>
      <c r="C27" s="87">
        <v>7500</v>
      </c>
      <c r="D27" s="64">
        <f>нея!$F$26</f>
        <v>8708</v>
      </c>
      <c r="E27" s="189">
        <f>мун.зак.!G33</f>
        <v>8479</v>
      </c>
      <c r="F27" s="105">
        <f t="shared" si="2"/>
        <v>113.1</v>
      </c>
      <c r="G27" s="105">
        <f t="shared" si="4"/>
        <v>97.4</v>
      </c>
    </row>
    <row r="28" spans="1:8" ht="16.5" x14ac:dyDescent="0.25">
      <c r="A28" s="66">
        <v>22</v>
      </c>
      <c r="B28" s="67" t="s">
        <v>68</v>
      </c>
      <c r="C28" s="87">
        <f>17500-500</f>
        <v>17000</v>
      </c>
      <c r="D28" s="64">
        <f>шар!$F$26</f>
        <v>15515</v>
      </c>
      <c r="E28" s="189">
        <f>мун.зак.!G35</f>
        <v>10349</v>
      </c>
      <c r="F28" s="105">
        <f t="shared" si="2"/>
        <v>60.9</v>
      </c>
      <c r="G28" s="105">
        <f t="shared" si="4"/>
        <v>66.7</v>
      </c>
    </row>
    <row r="29" spans="1:8" ht="16.5" x14ac:dyDescent="0.25">
      <c r="A29" s="67">
        <v>27</v>
      </c>
      <c r="B29" s="67" t="s">
        <v>70</v>
      </c>
      <c r="C29" s="87">
        <v>5750</v>
      </c>
      <c r="D29" s="64">
        <f>Рожд!$F$26</f>
        <v>9465</v>
      </c>
      <c r="E29" s="189">
        <f>мун.зак.!G36</f>
        <v>9363</v>
      </c>
      <c r="F29" s="105">
        <f t="shared" si="2"/>
        <v>162.80000000000001</v>
      </c>
      <c r="G29" s="105">
        <f t="shared" ref="G29:G34" si="5">ROUND(E29/D29*100,1)</f>
        <v>98.9</v>
      </c>
    </row>
    <row r="30" spans="1:8" ht="16.5" x14ac:dyDescent="0.25">
      <c r="A30" s="66">
        <v>28</v>
      </c>
      <c r="B30" s="68" t="s">
        <v>71</v>
      </c>
      <c r="C30" s="87">
        <v>3650</v>
      </c>
      <c r="D30" s="64">
        <f>поназ!$F$26</f>
        <v>4580</v>
      </c>
      <c r="E30" s="189">
        <f>мун.зак.!G37</f>
        <v>4677</v>
      </c>
      <c r="F30" s="105">
        <f t="shared" si="2"/>
        <v>128.1</v>
      </c>
      <c r="G30" s="105">
        <f t="shared" si="5"/>
        <v>102.1</v>
      </c>
    </row>
    <row r="31" spans="1:8" ht="16.5" x14ac:dyDescent="0.25">
      <c r="A31" s="66">
        <v>29</v>
      </c>
      <c r="B31" s="67" t="s">
        <v>72</v>
      </c>
      <c r="C31" s="87">
        <v>3200</v>
      </c>
      <c r="D31" s="64">
        <f>пыщ!$F$26</f>
        <v>4577</v>
      </c>
      <c r="E31" s="189">
        <f>мун.зак.!G38</f>
        <v>3903</v>
      </c>
      <c r="F31" s="105">
        <f t="shared" si="2"/>
        <v>122</v>
      </c>
      <c r="G31" s="105">
        <f t="shared" si="5"/>
        <v>85.3</v>
      </c>
    </row>
    <row r="32" spans="1:8" ht="16.5" x14ac:dyDescent="0.25">
      <c r="A32" s="66">
        <v>30</v>
      </c>
      <c r="B32" s="67" t="s">
        <v>73</v>
      </c>
      <c r="C32" s="87">
        <v>2300</v>
      </c>
      <c r="D32" s="64">
        <f>пав!$F$26</f>
        <v>4125</v>
      </c>
      <c r="E32" s="189">
        <f>мун.зак.!G39</f>
        <v>4019</v>
      </c>
      <c r="F32" s="105">
        <f t="shared" si="2"/>
        <v>174.7</v>
      </c>
      <c r="G32" s="105">
        <f t="shared" si="5"/>
        <v>97.4</v>
      </c>
    </row>
    <row r="33" spans="1:8" ht="16.5" x14ac:dyDescent="0.25">
      <c r="A33" s="66">
        <v>31</v>
      </c>
      <c r="B33" s="67" t="s">
        <v>74</v>
      </c>
      <c r="C33" s="87">
        <v>5500</v>
      </c>
      <c r="D33" s="64">
        <f>вохма!$F$26</f>
        <v>6870</v>
      </c>
      <c r="E33" s="189">
        <f>мун.зак.!G40</f>
        <v>7651</v>
      </c>
      <c r="F33" s="105">
        <f t="shared" si="2"/>
        <v>139.1</v>
      </c>
      <c r="G33" s="105">
        <f t="shared" si="5"/>
        <v>111.4</v>
      </c>
    </row>
    <row r="34" spans="1:8" ht="16.5" x14ac:dyDescent="0.25">
      <c r="A34" s="66">
        <v>32</v>
      </c>
      <c r="B34" s="67" t="s">
        <v>75</v>
      </c>
      <c r="C34" s="87">
        <v>2500</v>
      </c>
      <c r="D34" s="64">
        <f>бог!$F$26</f>
        <v>4664</v>
      </c>
      <c r="E34" s="189">
        <f>мун.зак.!G41</f>
        <v>5217</v>
      </c>
      <c r="F34" s="105">
        <f t="shared" si="2"/>
        <v>208.7</v>
      </c>
      <c r="G34" s="105">
        <f t="shared" si="5"/>
        <v>111.9</v>
      </c>
    </row>
    <row r="35" spans="1:8" ht="16.5" x14ac:dyDescent="0.25">
      <c r="A35" s="66">
        <v>33</v>
      </c>
      <c r="B35" s="67" t="s">
        <v>79</v>
      </c>
      <c r="C35" s="87">
        <f>6700+1000</f>
        <v>7700</v>
      </c>
      <c r="D35" s="64">
        <f>роддом!$F$26</f>
        <v>7686</v>
      </c>
      <c r="E35" s="189">
        <f>мун.зак.!G43</f>
        <v>5357</v>
      </c>
      <c r="F35" s="105">
        <f t="shared" si="2"/>
        <v>69.599999999999994</v>
      </c>
      <c r="G35" s="105">
        <f t="shared" ref="G35:G50" si="6">ROUND(E35/D35*100,1)</f>
        <v>69.7</v>
      </c>
      <c r="H35" s="113"/>
    </row>
    <row r="36" spans="1:8" ht="16.5" x14ac:dyDescent="0.25">
      <c r="A36" s="66">
        <v>34</v>
      </c>
      <c r="B36" s="67" t="s">
        <v>80</v>
      </c>
      <c r="C36" s="87">
        <f>57000-500</f>
        <v>56500</v>
      </c>
      <c r="D36" s="64">
        <f>муз1!$F$26</f>
        <v>57748</v>
      </c>
      <c r="E36" s="189">
        <f>мун.зак.!G44</f>
        <v>53080</v>
      </c>
      <c r="F36" s="105">
        <f t="shared" si="2"/>
        <v>93.9</v>
      </c>
      <c r="G36" s="105">
        <f t="shared" si="6"/>
        <v>91.9</v>
      </c>
    </row>
    <row r="37" spans="1:8" ht="16.5" x14ac:dyDescent="0.25">
      <c r="A37" s="66">
        <v>35</v>
      </c>
      <c r="B37" s="67" t="s">
        <v>81</v>
      </c>
      <c r="C37" s="87">
        <v>34211</v>
      </c>
      <c r="D37" s="64">
        <f>'2МО'!$F$26</f>
        <v>48155</v>
      </c>
      <c r="E37" s="189">
        <f>мун.зак.!G45</f>
        <v>31057</v>
      </c>
      <c r="F37" s="105">
        <f t="shared" si="2"/>
        <v>90.8</v>
      </c>
      <c r="G37" s="105">
        <f t="shared" si="6"/>
        <v>64.5</v>
      </c>
    </row>
    <row r="38" spans="1:8" ht="16.5" x14ac:dyDescent="0.25">
      <c r="A38" s="66">
        <v>36</v>
      </c>
      <c r="B38" s="67" t="s">
        <v>83</v>
      </c>
      <c r="C38" s="87">
        <v>15500</v>
      </c>
      <c r="D38" s="64">
        <f>пол4!$F$26</f>
        <v>16134</v>
      </c>
      <c r="E38" s="189">
        <f>мун.зак.!G46</f>
        <v>14642</v>
      </c>
      <c r="F38" s="105">
        <f t="shared" si="2"/>
        <v>94.5</v>
      </c>
      <c r="G38" s="105">
        <f t="shared" si="6"/>
        <v>90.8</v>
      </c>
    </row>
    <row r="39" spans="1:8" ht="16.5" x14ac:dyDescent="0.25">
      <c r="A39" s="66">
        <v>37</v>
      </c>
      <c r="B39" s="77" t="s">
        <v>87</v>
      </c>
      <c r="C39" s="87">
        <v>8000</v>
      </c>
      <c r="D39" s="64">
        <f>волг!$F$26</f>
        <v>10492</v>
      </c>
      <c r="E39" s="189" t="e">
        <f>мун.зак.!#REF!</f>
        <v>#REF!</v>
      </c>
      <c r="F39" s="105" t="e">
        <f t="shared" si="2"/>
        <v>#REF!</v>
      </c>
      <c r="G39" s="105" t="e">
        <f t="shared" si="6"/>
        <v>#REF!</v>
      </c>
    </row>
    <row r="40" spans="1:8" ht="16.5" x14ac:dyDescent="0.25">
      <c r="A40" s="67">
        <v>38</v>
      </c>
      <c r="B40" s="77" t="s">
        <v>88</v>
      </c>
      <c r="C40" s="87">
        <v>14676</v>
      </c>
      <c r="D40" s="64">
        <f>костр!$F$26</f>
        <v>12492</v>
      </c>
      <c r="E40" s="189" t="e">
        <f>мун.зак.!#REF!</f>
        <v>#REF!</v>
      </c>
      <c r="F40" s="105" t="e">
        <f t="shared" si="2"/>
        <v>#REF!</v>
      </c>
      <c r="G40" s="105" t="e">
        <f t="shared" si="6"/>
        <v>#REF!</v>
      </c>
    </row>
    <row r="41" spans="1:8" ht="16.5" x14ac:dyDescent="0.25">
      <c r="A41" s="67">
        <v>39</v>
      </c>
      <c r="B41" s="77" t="s">
        <v>89</v>
      </c>
      <c r="C41" s="87">
        <v>5750</v>
      </c>
      <c r="D41" s="64">
        <f>красное!$F$26</f>
        <v>5484</v>
      </c>
      <c r="E41" s="189">
        <f>мун.зак.!G52</f>
        <v>5327</v>
      </c>
      <c r="F41" s="105">
        <f t="shared" si="2"/>
        <v>92.6</v>
      </c>
      <c r="G41" s="105">
        <f t="shared" si="6"/>
        <v>97.1</v>
      </c>
    </row>
    <row r="42" spans="1:8" ht="16.5" x14ac:dyDescent="0.25">
      <c r="A42" s="66">
        <v>40</v>
      </c>
      <c r="B42" s="77" t="s">
        <v>90</v>
      </c>
      <c r="C42" s="87">
        <v>13000</v>
      </c>
      <c r="D42" s="64">
        <f>нерехта!$F$26</f>
        <v>18329</v>
      </c>
      <c r="E42" s="189">
        <f>мун.зак.!G53</f>
        <v>18917</v>
      </c>
      <c r="F42" s="105">
        <f t="shared" si="2"/>
        <v>145.5</v>
      </c>
      <c r="G42" s="105">
        <f t="shared" si="6"/>
        <v>103.2</v>
      </c>
    </row>
    <row r="43" spans="1:8" ht="16.5" x14ac:dyDescent="0.25">
      <c r="A43" s="66">
        <v>41</v>
      </c>
      <c r="B43" s="77" t="s">
        <v>92</v>
      </c>
      <c r="C43" s="87">
        <v>5280</v>
      </c>
      <c r="D43" s="64">
        <f>остр!$F$26</f>
        <v>5249</v>
      </c>
      <c r="E43" s="189">
        <f>мун.зак.!G55</f>
        <v>3159</v>
      </c>
      <c r="F43" s="105">
        <f t="shared" si="2"/>
        <v>59.8</v>
      </c>
      <c r="G43" s="105">
        <f t="shared" si="6"/>
        <v>60.2</v>
      </c>
    </row>
    <row r="44" spans="1:8" ht="16.5" x14ac:dyDescent="0.25">
      <c r="A44" s="66">
        <v>42</v>
      </c>
      <c r="B44" s="77" t="s">
        <v>93</v>
      </c>
      <c r="C44" s="87">
        <v>5000</v>
      </c>
      <c r="D44" s="64">
        <f>судисл!$F$26</f>
        <v>6340</v>
      </c>
      <c r="E44" s="189">
        <f>мун.зак.!G56</f>
        <v>6633</v>
      </c>
      <c r="F44" s="105">
        <f t="shared" si="2"/>
        <v>132.69999999999999</v>
      </c>
      <c r="G44" s="105">
        <f t="shared" si="6"/>
        <v>104.6</v>
      </c>
    </row>
    <row r="45" spans="1:8" ht="16.5" x14ac:dyDescent="0.25">
      <c r="A45" s="66">
        <v>43</v>
      </c>
      <c r="B45" s="78" t="s">
        <v>94</v>
      </c>
      <c r="C45" s="87">
        <v>2700</v>
      </c>
      <c r="D45" s="64">
        <f>сус!$F$26</f>
        <v>2375</v>
      </c>
      <c r="E45" s="189" t="e">
        <f>мун.зак.!#REF!</f>
        <v>#REF!</v>
      </c>
      <c r="F45" s="105" t="e">
        <f t="shared" si="2"/>
        <v>#REF!</v>
      </c>
      <c r="G45" s="105" t="e">
        <f t="shared" si="6"/>
        <v>#REF!</v>
      </c>
    </row>
    <row r="46" spans="1:8" ht="16.5" x14ac:dyDescent="0.25">
      <c r="A46" s="418" t="s">
        <v>122</v>
      </c>
      <c r="B46" s="419"/>
      <c r="C46" s="210">
        <f>SUM(C47:C49)</f>
        <v>3088</v>
      </c>
      <c r="D46" s="148">
        <f>SUM(D47:D49)</f>
        <v>8314</v>
      </c>
      <c r="E46" s="148">
        <f>SUM(E47:E49)</f>
        <v>9048</v>
      </c>
      <c r="F46" s="174">
        <f t="shared" si="2"/>
        <v>293</v>
      </c>
      <c r="G46" s="139">
        <f t="shared" si="6"/>
        <v>108.8</v>
      </c>
    </row>
    <row r="47" spans="1:8" ht="16.5" x14ac:dyDescent="0.25">
      <c r="A47" s="66">
        <v>44</v>
      </c>
      <c r="B47" s="67" t="s">
        <v>86</v>
      </c>
      <c r="C47" s="87">
        <v>1088</v>
      </c>
      <c r="D47" s="64">
        <f>увд!$F$26</f>
        <v>936</v>
      </c>
      <c r="E47" s="189">
        <f>мун.зак.!G58</f>
        <v>913</v>
      </c>
      <c r="F47" s="105">
        <f t="shared" si="2"/>
        <v>83.9</v>
      </c>
      <c r="G47" s="105">
        <f t="shared" si="6"/>
        <v>97.5</v>
      </c>
    </row>
    <row r="48" spans="1:8" ht="16.5" x14ac:dyDescent="0.25">
      <c r="A48" s="67">
        <v>45</v>
      </c>
      <c r="B48" s="67" t="s">
        <v>125</v>
      </c>
      <c r="C48" s="87">
        <v>1000</v>
      </c>
      <c r="D48" s="64">
        <f>боб!$F$26</f>
        <v>4550</v>
      </c>
      <c r="E48" s="189">
        <f>мун.зак.!G71</f>
        <v>5030</v>
      </c>
      <c r="F48" s="105">
        <f t="shared" si="2"/>
        <v>503</v>
      </c>
      <c r="G48" s="105">
        <f t="shared" si="6"/>
        <v>110.5</v>
      </c>
    </row>
    <row r="49" spans="1:7" ht="17.25" thickBot="1" x14ac:dyDescent="0.3">
      <c r="A49" s="67">
        <v>46</v>
      </c>
      <c r="B49" s="67" t="s">
        <v>126</v>
      </c>
      <c r="C49" s="87">
        <v>1000</v>
      </c>
      <c r="D49" s="64">
        <f>узшар!$F$26</f>
        <v>2828</v>
      </c>
      <c r="E49" s="189">
        <f>мун.зак.!G72</f>
        <v>3105</v>
      </c>
      <c r="F49" s="105">
        <f t="shared" si="2"/>
        <v>310.5</v>
      </c>
      <c r="G49" s="105">
        <f t="shared" si="6"/>
        <v>109.8</v>
      </c>
    </row>
    <row r="50" spans="1:7" ht="16.5" x14ac:dyDescent="0.25">
      <c r="A50" s="1"/>
      <c r="B50" s="94" t="s">
        <v>95</v>
      </c>
      <c r="C50" s="201">
        <f>SUM(C12+C6+C46)</f>
        <v>327064</v>
      </c>
      <c r="D50" s="79">
        <f>SUM(D12+D6+D46)</f>
        <v>388771</v>
      </c>
      <c r="E50" s="79" t="e">
        <f>SUM(E12+E6+E46)</f>
        <v>#REF!</v>
      </c>
      <c r="F50" s="108" t="e">
        <f t="shared" si="2"/>
        <v>#REF!</v>
      </c>
      <c r="G50" s="108" t="e">
        <f t="shared" si="6"/>
        <v>#REF!</v>
      </c>
    </row>
    <row r="52" spans="1:7" x14ac:dyDescent="0.2">
      <c r="D52" s="90">
        <f>кмс!F69+МАКС!F72+сол!F72</f>
        <v>3308.25</v>
      </c>
    </row>
    <row r="53" spans="1:7" x14ac:dyDescent="0.2">
      <c r="D53" s="90">
        <f>D52-D50</f>
        <v>-385462.75</v>
      </c>
    </row>
  </sheetData>
  <mergeCells count="7">
    <mergeCell ref="A1:G1"/>
    <mergeCell ref="A2:G2"/>
    <mergeCell ref="A6:B6"/>
    <mergeCell ref="A46:B46"/>
    <mergeCell ref="A4:B4"/>
    <mergeCell ref="A12:B12"/>
    <mergeCell ref="C3:G3"/>
  </mergeCells>
  <phoneticPr fontId="0" type="noConversion"/>
  <pageMargins left="0" right="0" top="0" bottom="0" header="0" footer="0"/>
  <pageSetup paperSize="9" scale="44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zoomScale="90" workbookViewId="0">
      <pane xSplit="2" ySplit="5" topLeftCell="C6" activePane="bottomRight" state="frozen"/>
      <selection activeCell="B49" sqref="B49"/>
      <selection pane="topRight" activeCell="B49" sqref="B49"/>
      <selection pane="bottomLeft" activeCell="B49" sqref="B49"/>
      <selection pane="bottomRight" activeCell="O16" sqref="O16"/>
    </sheetView>
  </sheetViews>
  <sheetFormatPr defaultRowHeight="12.75" x14ac:dyDescent="0.2"/>
  <cols>
    <col min="1" max="1" width="4" customWidth="1"/>
    <col min="2" max="2" width="37" customWidth="1"/>
    <col min="3" max="3" width="16.140625" customWidth="1"/>
    <col min="4" max="4" width="15.7109375" customWidth="1"/>
    <col min="5" max="5" width="19.28515625" customWidth="1"/>
    <col min="6" max="6" width="12.7109375" customWidth="1"/>
    <col min="7" max="7" width="11.28515625" customWidth="1"/>
    <col min="8" max="9" width="22" hidden="1" customWidth="1"/>
    <col min="10" max="10" width="19.28515625" hidden="1" customWidth="1"/>
    <col min="11" max="11" width="18.28515625" hidden="1" customWidth="1"/>
    <col min="12" max="13" width="20.7109375" hidden="1" customWidth="1"/>
    <col min="14" max="14" width="18.28515625" hidden="1" customWidth="1"/>
    <col min="15" max="18" width="8.85546875" hidden="1" customWidth="1"/>
    <col min="19" max="20" width="23" hidden="1" customWidth="1"/>
    <col min="21" max="21" width="16.85546875" hidden="1" customWidth="1"/>
    <col min="22" max="22" width="14.7109375" hidden="1" customWidth="1"/>
    <col min="23" max="23" width="16.85546875" hidden="1" customWidth="1"/>
    <col min="24" max="24" width="0" hidden="1" customWidth="1"/>
    <col min="25" max="25" width="14.5703125" hidden="1" customWidth="1"/>
    <col min="26" max="26" width="12.5703125" hidden="1" customWidth="1"/>
    <col min="27" max="27" width="14.5703125" hidden="1" customWidth="1"/>
    <col min="28" max="28" width="11.28515625" hidden="1" customWidth="1"/>
    <col min="29" max="29" width="0" hidden="1" customWidth="1"/>
  </cols>
  <sheetData>
    <row r="1" spans="1:41" ht="19.5" thickBot="1" x14ac:dyDescent="0.35">
      <c r="A1" s="378" t="s">
        <v>132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2" spans="1:41" ht="16.5" hidden="1" thickBot="1" x14ac:dyDescent="0.3">
      <c r="A2" s="382" t="s">
        <v>104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</row>
    <row r="3" spans="1:41" ht="19.5" thickBot="1" x14ac:dyDescent="0.35">
      <c r="A3" s="34"/>
      <c r="B3" s="35"/>
      <c r="C3" s="384" t="s">
        <v>101</v>
      </c>
      <c r="D3" s="385"/>
      <c r="E3" s="385"/>
      <c r="F3" s="385"/>
      <c r="G3" s="385"/>
      <c r="H3" s="385"/>
      <c r="I3" s="385"/>
      <c r="J3" s="422"/>
      <c r="K3" s="423" t="s">
        <v>38</v>
      </c>
      <c r="L3" s="423"/>
      <c r="M3" s="423"/>
      <c r="N3" s="424"/>
      <c r="O3" s="33"/>
      <c r="P3" s="33"/>
      <c r="Q3" s="33"/>
      <c r="R3" s="33"/>
      <c r="S3" s="425" t="s">
        <v>6</v>
      </c>
      <c r="T3" s="424"/>
      <c r="U3" s="387" t="s">
        <v>40</v>
      </c>
      <c r="V3" s="388"/>
      <c r="W3" s="426"/>
      <c r="X3" s="1"/>
    </row>
    <row r="4" spans="1:41" ht="15.75" x14ac:dyDescent="0.25">
      <c r="A4" s="393" t="s">
        <v>41</v>
      </c>
      <c r="B4" s="394"/>
      <c r="C4" s="37" t="s">
        <v>40</v>
      </c>
      <c r="D4" s="37" t="s">
        <v>40</v>
      </c>
      <c r="E4" s="37" t="s">
        <v>42</v>
      </c>
      <c r="F4" s="37" t="s">
        <v>39</v>
      </c>
      <c r="G4" s="37" t="s">
        <v>39</v>
      </c>
      <c r="H4" s="38" t="s">
        <v>43</v>
      </c>
      <c r="I4" s="37" t="s">
        <v>44</v>
      </c>
      <c r="J4" s="40" t="s">
        <v>45</v>
      </c>
      <c r="K4" s="99"/>
      <c r="L4" s="100" t="s">
        <v>43</v>
      </c>
      <c r="M4" s="100" t="s">
        <v>46</v>
      </c>
      <c r="N4" s="100" t="s">
        <v>45</v>
      </c>
      <c r="O4" s="41"/>
      <c r="P4" s="41" t="s">
        <v>43</v>
      </c>
      <c r="Q4" s="41" t="s">
        <v>46</v>
      </c>
      <c r="R4" s="42" t="s">
        <v>45</v>
      </c>
      <c r="S4" s="37" t="s">
        <v>47</v>
      </c>
      <c r="T4" s="37" t="s">
        <v>44</v>
      </c>
      <c r="U4" s="44" t="s">
        <v>20</v>
      </c>
      <c r="V4" s="45" t="s">
        <v>49</v>
      </c>
      <c r="W4" s="45" t="s">
        <v>2</v>
      </c>
    </row>
    <row r="5" spans="1:41" ht="15.75" thickBot="1" x14ac:dyDescent="0.25">
      <c r="A5" s="47"/>
      <c r="B5" s="48"/>
      <c r="C5" s="49" t="s">
        <v>15</v>
      </c>
      <c r="D5" s="49" t="s">
        <v>36</v>
      </c>
      <c r="E5" s="51" t="s">
        <v>53</v>
      </c>
      <c r="F5" s="53" t="s">
        <v>129</v>
      </c>
      <c r="G5" s="53" t="s">
        <v>133</v>
      </c>
      <c r="H5" s="50" t="s">
        <v>51</v>
      </c>
      <c r="I5" s="51" t="s">
        <v>48</v>
      </c>
      <c r="J5" s="54" t="s">
        <v>52</v>
      </c>
      <c r="K5" s="55" t="s">
        <v>53</v>
      </c>
      <c r="L5" s="56" t="s">
        <v>51</v>
      </c>
      <c r="M5" s="56" t="s">
        <v>48</v>
      </c>
      <c r="N5" s="56" t="s">
        <v>52</v>
      </c>
      <c r="O5" s="56" t="s">
        <v>53</v>
      </c>
      <c r="P5" s="56" t="s">
        <v>51</v>
      </c>
      <c r="Q5" s="56" t="s">
        <v>48</v>
      </c>
      <c r="R5" s="57" t="s">
        <v>52</v>
      </c>
      <c r="S5" s="53" t="s">
        <v>51</v>
      </c>
      <c r="T5" s="53" t="s">
        <v>48</v>
      </c>
      <c r="U5" s="58" t="s">
        <v>50</v>
      </c>
      <c r="V5" s="59" t="s">
        <v>50</v>
      </c>
      <c r="W5" s="59" t="s">
        <v>53</v>
      </c>
    </row>
    <row r="6" spans="1:41" ht="16.5" x14ac:dyDescent="0.25">
      <c r="A6" s="403" t="s">
        <v>124</v>
      </c>
      <c r="B6" s="404"/>
      <c r="C6" s="211">
        <f>SUM(C7:C12)</f>
        <v>598229</v>
      </c>
      <c r="D6" s="154">
        <f>SUM(D7:D12)</f>
        <v>0</v>
      </c>
      <c r="E6" s="176">
        <f>SUM(E7:E12)</f>
        <v>0</v>
      </c>
      <c r="F6" s="177">
        <f>ROUND(E6/C6*100,1)</f>
        <v>0</v>
      </c>
      <c r="G6" s="178" t="e">
        <f t="shared" ref="G6:G33" si="0">ROUND(E6/D6*100,1)</f>
        <v>#DIV/0!</v>
      </c>
      <c r="H6" s="151" t="e">
        <f t="shared" ref="H6:N6" si="1">SUM(H7:H12)</f>
        <v>#REF!</v>
      </c>
      <c r="I6" s="155" t="e">
        <f t="shared" si="1"/>
        <v>#REF!</v>
      </c>
      <c r="J6" s="152" t="e">
        <f t="shared" si="1"/>
        <v>#REF!</v>
      </c>
      <c r="K6" s="147" t="e">
        <f t="shared" si="1"/>
        <v>#REF!</v>
      </c>
      <c r="L6" s="147" t="e">
        <f t="shared" si="1"/>
        <v>#REF!</v>
      </c>
      <c r="M6" s="151" t="e">
        <f t="shared" si="1"/>
        <v>#REF!</v>
      </c>
      <c r="N6" s="153" t="e">
        <f t="shared" si="1"/>
        <v>#REF!</v>
      </c>
      <c r="O6" s="147"/>
      <c r="P6" s="147"/>
      <c r="Q6" s="147"/>
      <c r="R6" s="147"/>
      <c r="S6" s="147" t="e">
        <f>SUM(S7:S12)</f>
        <v>#REF!</v>
      </c>
      <c r="T6" s="147" t="e">
        <f>SUM(T7:T12)</f>
        <v>#REF!</v>
      </c>
      <c r="U6" s="150">
        <f>SUM(U7+U8+U9+U10+U11)</f>
        <v>360342</v>
      </c>
      <c r="V6" s="150">
        <f>SUM(V7+V8+V9+V10+V11)</f>
        <v>41275</v>
      </c>
      <c r="W6" s="150">
        <f>SUM(W7+W8+W9+W10+W11+W12)</f>
        <v>562647</v>
      </c>
      <c r="Y6" s="150" t="e">
        <f>SUM(Y7+Y8+Y9+Y10+Y11+Y12)</f>
        <v>#REF!</v>
      </c>
      <c r="Z6" s="150" t="e">
        <f>SUM(Z7+Z8+Z9+Z10+Z11+Z12)</f>
        <v>#REF!</v>
      </c>
      <c r="AA6" s="150" t="e">
        <f>SUM(Y7:Z12)</f>
        <v>#REF!</v>
      </c>
      <c r="AB6" s="150" t="e">
        <f>SUM(AB7+AB8+AB9+AB10+AB11+AB12)</f>
        <v>#REF!</v>
      </c>
    </row>
    <row r="7" spans="1:41" ht="16.5" x14ac:dyDescent="0.25">
      <c r="A7" s="66">
        <v>1</v>
      </c>
      <c r="B7" s="141" t="s">
        <v>121</v>
      </c>
      <c r="C7" s="87">
        <v>82800</v>
      </c>
      <c r="D7" s="91">
        <f>мун.зак.!I7</f>
        <v>0</v>
      </c>
      <c r="E7" s="93">
        <f>мун.зак.!J7</f>
        <v>0</v>
      </c>
      <c r="F7" s="183">
        <f t="shared" ref="F7:F61" si="2">ROUND(E7/C7*100,1)</f>
        <v>0</v>
      </c>
      <c r="G7" s="180" t="e">
        <f t="shared" si="0"/>
        <v>#DIV/0!</v>
      </c>
      <c r="H7" s="107" t="e">
        <f>[1]совита!L52+#REF!+L7+#REF!</f>
        <v>#REF!</v>
      </c>
      <c r="I7" s="107" t="e">
        <f>[1]совита!M52+#REF!+M7+#REF!</f>
        <v>#REF!</v>
      </c>
      <c r="J7" s="106" t="e">
        <f>[1]совита!N52+#REF!+N7+#REF!</f>
        <v>#REF!</v>
      </c>
      <c r="K7" s="107" t="e">
        <f>[1]совита!O52+#REF!+#REF!</f>
        <v>#REF!</v>
      </c>
      <c r="L7" s="107" t="e">
        <f>[1]совита!P52+#REF!+#REF!</f>
        <v>#REF!</v>
      </c>
      <c r="M7" s="107" t="e">
        <f>[1]совита!Q52+#REF!+#REF!</f>
        <v>#REF!</v>
      </c>
      <c r="N7" s="106" t="e">
        <f>[1]совита!R52+#REF!+#REF!</f>
        <v>#REF!</v>
      </c>
      <c r="O7" s="65"/>
      <c r="P7" s="65"/>
      <c r="Q7" s="65"/>
      <c r="R7" s="65"/>
      <c r="S7" s="65" t="e">
        <f>#REF!+#REF!+H7</f>
        <v>#REF!</v>
      </c>
      <c r="T7" s="65" t="e">
        <f>#REF!+#REF!+I7</f>
        <v>#REF!</v>
      </c>
      <c r="U7" s="142">
        <v>222737</v>
      </c>
      <c r="V7" s="143">
        <v>3685</v>
      </c>
      <c r="W7" s="143">
        <v>85000</v>
      </c>
      <c r="X7" s="113" t="e">
        <f>Y7-#REF!</f>
        <v>#REF!</v>
      </c>
      <c r="Y7" s="113" t="e">
        <f>кмс!C46+МАКС!#REF!+сол!#REF!</f>
        <v>#REF!</v>
      </c>
      <c r="Z7" s="113" t="e">
        <f>кмс!F46+МАКС!#REF!+сол!#REF!</f>
        <v>#REF!</v>
      </c>
      <c r="AA7" s="113" t="e">
        <f>кмс!I46+МАКС!#REF!+сол!#REF!</f>
        <v>#REF!</v>
      </c>
      <c r="AB7" s="113" t="e">
        <f t="shared" ref="AB7:AB33" si="3">AA7-D7</f>
        <v>#REF!</v>
      </c>
    </row>
    <row r="8" spans="1:41" ht="16.5" x14ac:dyDescent="0.25">
      <c r="A8" s="66">
        <v>2</v>
      </c>
      <c r="B8" s="141" t="s">
        <v>120</v>
      </c>
      <c r="C8" s="87">
        <v>73281</v>
      </c>
      <c r="D8" s="91">
        <f>мун.зак.!I8</f>
        <v>0</v>
      </c>
      <c r="E8" s="93">
        <f>мун.зак.!J8</f>
        <v>0</v>
      </c>
      <c r="F8" s="183">
        <f t="shared" si="2"/>
        <v>0</v>
      </c>
      <c r="G8" s="180" t="e">
        <f t="shared" si="0"/>
        <v>#DIV/0!</v>
      </c>
      <c r="H8" s="107" t="e">
        <f>[1]совита!L53+#REF!+L8+#REF!</f>
        <v>#REF!</v>
      </c>
      <c r="I8" s="107" t="e">
        <f>[1]совита!M53+#REF!+M8+#REF!</f>
        <v>#REF!</v>
      </c>
      <c r="J8" s="106" t="e">
        <f>[1]совита!N53+#REF!+N8+#REF!</f>
        <v>#REF!</v>
      </c>
      <c r="K8" s="107" t="e">
        <f>[1]совита!O53+#REF!+#REF!</f>
        <v>#REF!</v>
      </c>
      <c r="L8" s="107" t="e">
        <f>[1]совита!P53+#REF!+#REF!</f>
        <v>#REF!</v>
      </c>
      <c r="M8" s="107" t="e">
        <f>[1]совита!Q53+#REF!+#REF!</f>
        <v>#REF!</v>
      </c>
      <c r="N8" s="106" t="e">
        <f>[1]совита!R53+#REF!+#REF!</f>
        <v>#REF!</v>
      </c>
      <c r="O8" s="53"/>
      <c r="P8" s="53"/>
      <c r="Q8" s="53"/>
      <c r="R8" s="60"/>
      <c r="S8" s="65" t="e">
        <f>#REF!+#REF!+H8</f>
        <v>#REF!</v>
      </c>
      <c r="T8" s="65" t="e">
        <f>#REF!+#REF!+I8</f>
        <v>#REF!</v>
      </c>
      <c r="U8" s="142">
        <v>50980</v>
      </c>
      <c r="V8" s="143">
        <v>5676</v>
      </c>
      <c r="W8" s="143">
        <v>56147</v>
      </c>
      <c r="X8" s="113" t="e">
        <f>Y8-#REF!</f>
        <v>#REF!</v>
      </c>
      <c r="Y8" s="113" t="e">
        <f>кмс!C47+МАКС!#REF!+сол!#REF!</f>
        <v>#REF!</v>
      </c>
      <c r="Z8" s="113" t="e">
        <f>кмс!F47+МАКС!#REF!+сол!#REF!</f>
        <v>#REF!</v>
      </c>
      <c r="AA8" s="113" t="e">
        <f>кмс!I47+МАКС!#REF!+сол!#REF!</f>
        <v>#REF!</v>
      </c>
      <c r="AB8" s="113" t="e">
        <f t="shared" si="3"/>
        <v>#REF!</v>
      </c>
    </row>
    <row r="9" spans="1:41" ht="16.5" x14ac:dyDescent="0.25">
      <c r="A9" s="66">
        <v>3</v>
      </c>
      <c r="B9" s="141" t="s">
        <v>119</v>
      </c>
      <c r="C9" s="87">
        <v>35600</v>
      </c>
      <c r="D9" s="91">
        <f>мун.зак.!I9</f>
        <v>0</v>
      </c>
      <c r="E9" s="93">
        <f>мун.зак.!J9</f>
        <v>0</v>
      </c>
      <c r="F9" s="183">
        <f t="shared" si="2"/>
        <v>0</v>
      </c>
      <c r="G9" s="180" t="e">
        <f t="shared" si="0"/>
        <v>#DIV/0!</v>
      </c>
      <c r="H9" s="107" t="e">
        <f>[1]совита!L54+#REF!+L9+#REF!</f>
        <v>#REF!</v>
      </c>
      <c r="I9" s="107" t="e">
        <f>[1]совита!M54+#REF!+M9+#REF!</f>
        <v>#REF!</v>
      </c>
      <c r="J9" s="106" t="e">
        <f>[1]совита!N54+#REF!+N9+#REF!</f>
        <v>#REF!</v>
      </c>
      <c r="K9" s="107" t="e">
        <f>[1]совита!O54+#REF!+#REF!</f>
        <v>#REF!</v>
      </c>
      <c r="L9" s="107" t="e">
        <f>[1]совита!P54+#REF!+#REF!</f>
        <v>#REF!</v>
      </c>
      <c r="M9" s="107" t="e">
        <f>[1]совита!Q54+#REF!+#REF!</f>
        <v>#REF!</v>
      </c>
      <c r="N9" s="106" t="e">
        <f>[1]совита!R54+#REF!+#REF!</f>
        <v>#REF!</v>
      </c>
      <c r="O9" s="53"/>
      <c r="P9" s="53"/>
      <c r="Q9" s="53"/>
      <c r="R9" s="60"/>
      <c r="S9" s="65" t="e">
        <f>#REF!+#REF!+H9</f>
        <v>#REF!</v>
      </c>
      <c r="T9" s="65" t="e">
        <f>#REF!+#REF!+I9</f>
        <v>#REF!</v>
      </c>
      <c r="U9" s="142">
        <v>37428</v>
      </c>
      <c r="V9" s="143">
        <v>18063</v>
      </c>
      <c r="W9" s="143">
        <v>40000</v>
      </c>
      <c r="X9" s="113" t="e">
        <f>Y9-#REF!</f>
        <v>#REF!</v>
      </c>
      <c r="Y9" s="113" t="e">
        <f>кмс!#REF!+МАКС!C50+сол!C50</f>
        <v>#REF!</v>
      </c>
      <c r="Z9" s="113" t="e">
        <f>кмс!#REF!+МАКС!F50+сол!F50</f>
        <v>#REF!</v>
      </c>
      <c r="AA9" s="113" t="e">
        <f>кмс!#REF!+МАКС!I50+сол!I50</f>
        <v>#REF!</v>
      </c>
      <c r="AB9" s="113" t="e">
        <f t="shared" si="3"/>
        <v>#REF!</v>
      </c>
    </row>
    <row r="10" spans="1:41" ht="16.5" x14ac:dyDescent="0.25">
      <c r="A10" s="66">
        <v>4</v>
      </c>
      <c r="B10" s="141" t="s">
        <v>116</v>
      </c>
      <c r="C10" s="87">
        <v>86550</v>
      </c>
      <c r="D10" s="91">
        <f>мун.зак.!I10</f>
        <v>0</v>
      </c>
      <c r="E10" s="93">
        <f>мун.зак.!J10</f>
        <v>0</v>
      </c>
      <c r="F10" s="183">
        <f t="shared" si="2"/>
        <v>0</v>
      </c>
      <c r="G10" s="180" t="e">
        <f t="shared" si="0"/>
        <v>#DIV/0!</v>
      </c>
      <c r="H10" s="107" t="e">
        <f>[1]совита!L55+#REF!+L10+#REF!</f>
        <v>#REF!</v>
      </c>
      <c r="I10" s="107" t="e">
        <f>[1]совита!M55+#REF!+M10+#REF!</f>
        <v>#REF!</v>
      </c>
      <c r="J10" s="106" t="e">
        <f>[1]совита!N55+#REF!+N10+#REF!</f>
        <v>#REF!</v>
      </c>
      <c r="K10" s="107" t="e">
        <f>[1]совита!O55+#REF!+#REF!</f>
        <v>#REF!</v>
      </c>
      <c r="L10" s="107" t="e">
        <f>[1]совита!P55+#REF!+#REF!</f>
        <v>#REF!</v>
      </c>
      <c r="M10" s="107" t="e">
        <f>[1]совита!Q55+#REF!+#REF!</f>
        <v>#REF!</v>
      </c>
      <c r="N10" s="106" t="e">
        <f>[1]совита!R55+#REF!+#REF!</f>
        <v>#REF!</v>
      </c>
      <c r="O10" s="53"/>
      <c r="P10" s="53"/>
      <c r="Q10" s="53"/>
      <c r="R10" s="60"/>
      <c r="S10" s="65" t="e">
        <f>#REF!+#REF!+H10</f>
        <v>#REF!</v>
      </c>
      <c r="T10" s="65" t="e">
        <f>#REF!+#REF!+I10</f>
        <v>#REF!</v>
      </c>
      <c r="U10" s="142">
        <v>8216</v>
      </c>
      <c r="V10" s="143">
        <v>7535</v>
      </c>
      <c r="W10" s="143">
        <v>90000</v>
      </c>
      <c r="X10" s="113" t="e">
        <f>Y10-#REF!</f>
        <v>#REF!</v>
      </c>
      <c r="Y10" s="113" t="e">
        <f>кмс!#REF!+МАКС!C53+сол!C53</f>
        <v>#REF!</v>
      </c>
      <c r="Z10" s="113" t="e">
        <f>кмс!#REF!+МАКС!F53+сол!F53</f>
        <v>#REF!</v>
      </c>
      <c r="AA10" s="113" t="e">
        <f>кмс!#REF!+МАКС!I53+сол!I53</f>
        <v>#REF!</v>
      </c>
      <c r="AB10" s="113" t="e">
        <f t="shared" si="3"/>
        <v>#REF!</v>
      </c>
    </row>
    <row r="11" spans="1:41" ht="16.5" x14ac:dyDescent="0.25">
      <c r="A11" s="66">
        <v>5</v>
      </c>
      <c r="B11" s="141" t="s">
        <v>117</v>
      </c>
      <c r="C11" s="87">
        <v>42000</v>
      </c>
      <c r="D11" s="91">
        <f>мун.зак.!I11</f>
        <v>0</v>
      </c>
      <c r="E11" s="93">
        <f>мун.зак.!J11</f>
        <v>0</v>
      </c>
      <c r="F11" s="183">
        <f t="shared" si="2"/>
        <v>0</v>
      </c>
      <c r="G11" s="180" t="e">
        <f t="shared" si="0"/>
        <v>#DIV/0!</v>
      </c>
      <c r="H11" s="107" t="e">
        <f>[1]совита!L56+#REF!+L11+#REF!</f>
        <v>#REF!</v>
      </c>
      <c r="I11" s="107" t="e">
        <f>[1]совита!M56+#REF!+M11+#REF!</f>
        <v>#REF!</v>
      </c>
      <c r="J11" s="106" t="e">
        <f>[1]совита!N56+#REF!+N11+#REF!</f>
        <v>#REF!</v>
      </c>
      <c r="K11" s="107" t="e">
        <f>[1]совита!O56+#REF!+#REF!</f>
        <v>#REF!</v>
      </c>
      <c r="L11" s="107" t="e">
        <f>[1]совита!P56+#REF!+#REF!</f>
        <v>#REF!</v>
      </c>
      <c r="M11" s="107" t="e">
        <f>[1]совита!Q56+#REF!+#REF!</f>
        <v>#REF!</v>
      </c>
      <c r="N11" s="106" t="e">
        <f>[1]совита!R56+#REF!+#REF!</f>
        <v>#REF!</v>
      </c>
      <c r="O11" s="53"/>
      <c r="P11" s="53"/>
      <c r="Q11" s="53"/>
      <c r="R11" s="60"/>
      <c r="S11" s="65" t="e">
        <f>#REF!+#REF!+H11</f>
        <v>#REF!</v>
      </c>
      <c r="T11" s="65" t="e">
        <f>#REF!+#REF!+I11</f>
        <v>#REF!</v>
      </c>
      <c r="U11" s="142">
        <v>40981</v>
      </c>
      <c r="V11" s="143">
        <v>6316</v>
      </c>
      <c r="W11" s="143">
        <v>41500</v>
      </c>
      <c r="X11" s="113" t="e">
        <f>Y11-#REF!</f>
        <v>#REF!</v>
      </c>
      <c r="Y11" s="113" t="e">
        <f>кмс!#REF!+МАКС!C54+сол!C54</f>
        <v>#REF!</v>
      </c>
      <c r="Z11" s="113" t="e">
        <f>кмс!#REF!+МАКС!F54+сол!F54</f>
        <v>#REF!</v>
      </c>
      <c r="AA11" s="113" t="e">
        <f>кмс!#REF!+МАКС!I54+сол!I54</f>
        <v>#REF!</v>
      </c>
      <c r="AB11" s="113" t="e">
        <f t="shared" si="3"/>
        <v>#REF!</v>
      </c>
    </row>
    <row r="12" spans="1:41" ht="16.5" x14ac:dyDescent="0.25">
      <c r="A12" s="66">
        <v>6</v>
      </c>
      <c r="B12" s="141" t="s">
        <v>118</v>
      </c>
      <c r="C12" s="87">
        <v>277998</v>
      </c>
      <c r="D12" s="91">
        <f>мун.зак.!I13</f>
        <v>0</v>
      </c>
      <c r="E12" s="93">
        <f>мун.зак.!J13</f>
        <v>0</v>
      </c>
      <c r="F12" s="183">
        <f t="shared" si="2"/>
        <v>0</v>
      </c>
      <c r="G12" s="180" t="e">
        <f t="shared" si="0"/>
        <v>#DIV/0!</v>
      </c>
      <c r="H12" s="107" t="e">
        <f>[1]совита!L57+#REF!+L12+#REF!</f>
        <v>#REF!</v>
      </c>
      <c r="I12" s="107" t="e">
        <f>[1]совита!M57+#REF!+M12+#REF!</f>
        <v>#REF!</v>
      </c>
      <c r="J12" s="106" t="e">
        <f>[1]совита!N57+#REF!+N12+#REF!</f>
        <v>#REF!</v>
      </c>
      <c r="K12" s="107" t="e">
        <f>[1]совита!O57+#REF!+#REF!</f>
        <v>#REF!</v>
      </c>
      <c r="L12" s="107" t="e">
        <f>[1]совита!P57+#REF!+#REF!</f>
        <v>#REF!</v>
      </c>
      <c r="M12" s="107" t="e">
        <f>[1]совита!Q57+#REF!+#REF!</f>
        <v>#REF!</v>
      </c>
      <c r="N12" s="106" t="e">
        <f>[1]совита!R57+#REF!+#REF!</f>
        <v>#REF!</v>
      </c>
      <c r="O12" s="53"/>
      <c r="P12" s="53"/>
      <c r="Q12" s="53"/>
      <c r="R12" s="60"/>
      <c r="S12" s="65" t="e">
        <f>#REF!+#REF!+H12</f>
        <v>#REF!</v>
      </c>
      <c r="T12" s="65" t="e">
        <f>#REF!+#REF!+I12</f>
        <v>#REF!</v>
      </c>
      <c r="U12" s="142"/>
      <c r="V12" s="143"/>
      <c r="W12" s="143">
        <v>250000</v>
      </c>
      <c r="X12" s="113" t="e">
        <f>Y12-#REF!</f>
        <v>#REF!</v>
      </c>
      <c r="Y12" s="113">
        <f>кмс!C50+МАКС!C55+сол!C55</f>
        <v>17111.416666666664</v>
      </c>
      <c r="Z12" s="113">
        <f>кмс!F50+МАКС!F55+сол!F55</f>
        <v>5255.25</v>
      </c>
      <c r="AA12" s="113">
        <f>кмс!I50+МАКС!I55+сол!I55</f>
        <v>3178.9999999999995</v>
      </c>
      <c r="AB12" s="113">
        <f t="shared" si="3"/>
        <v>3178.9999999999995</v>
      </c>
    </row>
    <row r="13" spans="1:41" ht="16.5" x14ac:dyDescent="0.25">
      <c r="A13" s="420" t="s">
        <v>123</v>
      </c>
      <c r="B13" s="421"/>
      <c r="C13" s="61">
        <f>SUM(C14:C55)</f>
        <v>5396551</v>
      </c>
      <c r="D13" s="61" t="e">
        <f>SUM(D14:D55)</f>
        <v>#REF!</v>
      </c>
      <c r="E13" s="179" t="e">
        <f>SUM(E14:E55)</f>
        <v>#REF!</v>
      </c>
      <c r="F13" s="177" t="e">
        <f t="shared" si="2"/>
        <v>#REF!</v>
      </c>
      <c r="G13" s="88" t="e">
        <f t="shared" si="0"/>
        <v>#REF!</v>
      </c>
      <c r="H13" s="61" t="e">
        <f t="shared" ref="H13:N13" si="4">SUM(H14:H55)</f>
        <v>#REF!</v>
      </c>
      <c r="I13" s="61" t="e">
        <f t="shared" si="4"/>
        <v>#REF!</v>
      </c>
      <c r="J13" s="61" t="e">
        <f t="shared" si="4"/>
        <v>#REF!</v>
      </c>
      <c r="K13" s="61" t="e">
        <f t="shared" si="4"/>
        <v>#REF!</v>
      </c>
      <c r="L13" s="61" t="e">
        <f t="shared" si="4"/>
        <v>#REF!</v>
      </c>
      <c r="M13" s="61" t="e">
        <f t="shared" si="4"/>
        <v>#REF!</v>
      </c>
      <c r="N13" s="95" t="e">
        <f t="shared" si="4"/>
        <v>#REF!</v>
      </c>
      <c r="O13" s="61"/>
      <c r="P13" s="61"/>
      <c r="Q13" s="61"/>
      <c r="R13" s="61"/>
      <c r="S13" s="61" t="e">
        <f>SUM(S14:S55)</f>
        <v>#REF!</v>
      </c>
      <c r="T13" s="61" t="e">
        <f>SUM(T14:T55)</f>
        <v>#REF!</v>
      </c>
      <c r="U13" s="61">
        <f>SUM(U14:U55)</f>
        <v>956074</v>
      </c>
      <c r="V13" s="61">
        <f>SUM(V14:V55)</f>
        <v>284307</v>
      </c>
      <c r="W13" s="61">
        <f>SUM(W14:W55)</f>
        <v>5240429</v>
      </c>
      <c r="X13" s="113" t="e">
        <f>Y13-#REF!</f>
        <v>#REF!</v>
      </c>
      <c r="Y13" s="61" t="e">
        <f>SUM(Y14:Y55)</f>
        <v>#REF!</v>
      </c>
      <c r="Z13" s="61" t="e">
        <f>SUM(Z14:Z55)</f>
        <v>#REF!</v>
      </c>
      <c r="AA13" s="61" t="e">
        <f>SUM(AA14:AA55)</f>
        <v>#REF!</v>
      </c>
      <c r="AB13" s="113" t="e">
        <f t="shared" si="3"/>
        <v>#REF!</v>
      </c>
      <c r="AC13" s="138" t="e">
        <f>ROUND(Z13/Y13*100,1)</f>
        <v>#REF!</v>
      </c>
      <c r="AD13" s="96">
        <f>SUM(AD14:AD55)</f>
        <v>0</v>
      </c>
      <c r="AE13" s="61">
        <f>SUM(AE14:AE55)</f>
        <v>0</v>
      </c>
      <c r="AF13" s="95">
        <f>SUM(AF14:AF55)</f>
        <v>0</v>
      </c>
      <c r="AG13" s="61">
        <f>SUM(AG14:AG55)-AG40</f>
        <v>0</v>
      </c>
      <c r="AH13" s="61">
        <f>SUM(AH14:AH55)-AH40</f>
        <v>0</v>
      </c>
      <c r="AI13" s="61">
        <f>SUM(AI14:AI55)</f>
        <v>0</v>
      </c>
      <c r="AJ13" s="126" t="e">
        <f>ROUND(AI13/AG13*100,1)</f>
        <v>#DIV/0!</v>
      </c>
      <c r="AK13" s="139" t="e">
        <f>ROUND(AH13/AG13*100,1)</f>
        <v>#DIV/0!</v>
      </c>
      <c r="AL13" s="61">
        <f>SUM(AL14:AL55)</f>
        <v>0</v>
      </c>
      <c r="AM13" s="61">
        <f>SUM(AI14:AI55)</f>
        <v>0</v>
      </c>
      <c r="AN13" s="61">
        <f>SUM(AN14:AN55)</f>
        <v>0</v>
      </c>
      <c r="AO13" s="61">
        <f>SUM(AO14:AO55)-AO40</f>
        <v>0</v>
      </c>
    </row>
    <row r="14" spans="1:41" ht="16.5" x14ac:dyDescent="0.25">
      <c r="A14" s="140">
        <v>7</v>
      </c>
      <c r="B14" s="63" t="s">
        <v>54</v>
      </c>
      <c r="C14" s="87">
        <v>58440</v>
      </c>
      <c r="D14" s="91">
        <f>мун.зак.!I17</f>
        <v>1833.3333333333333</v>
      </c>
      <c r="E14" s="93">
        <f>мун.зак.!J17</f>
        <v>789</v>
      </c>
      <c r="F14" s="183">
        <f t="shared" si="2"/>
        <v>1.4</v>
      </c>
      <c r="G14" s="180">
        <f t="shared" si="0"/>
        <v>43</v>
      </c>
      <c r="H14" s="107" t="e">
        <f>[1]совита!L7+#REF!+L14+#REF!</f>
        <v>#REF!</v>
      </c>
      <c r="I14" s="107" t="e">
        <f>[1]совита!M7+#REF!+M14+#REF!</f>
        <v>#REF!</v>
      </c>
      <c r="J14" s="106" t="e">
        <f>[1]совита!N7+#REF!+N14+#REF!</f>
        <v>#REF!</v>
      </c>
      <c r="K14" s="107" t="e">
        <f>[1]совита!O7+#REF!+#REF!</f>
        <v>#REF!</v>
      </c>
      <c r="L14" s="107" t="e">
        <f>[1]совита!P7+#REF!+#REF!</f>
        <v>#REF!</v>
      </c>
      <c r="M14" s="107" t="e">
        <f>[1]совита!Q7+#REF!+#REF!</f>
        <v>#REF!</v>
      </c>
      <c r="N14" s="106" t="e">
        <f>[1]совита!R7+#REF!+#REF!</f>
        <v>#REF!</v>
      </c>
      <c r="O14" s="65"/>
      <c r="P14" s="65"/>
      <c r="Q14" s="65"/>
      <c r="R14" s="65"/>
      <c r="S14" s="65" t="e">
        <f>#REF!+#REF!+H14</f>
        <v>#REF!</v>
      </c>
      <c r="T14" s="65" t="e">
        <f>#REF!+#REF!+I14</f>
        <v>#REF!</v>
      </c>
      <c r="U14" s="128">
        <v>8216</v>
      </c>
      <c r="V14" s="129">
        <v>3397</v>
      </c>
      <c r="W14" s="129">
        <v>54475</v>
      </c>
      <c r="X14" s="113" t="e">
        <f>Y14-#REF!</f>
        <v>#REF!</v>
      </c>
      <c r="Y14" s="90">
        <f>кмс!C7+МАКС!C7+сол!C7</f>
        <v>177833.33333333334</v>
      </c>
      <c r="Z14" s="90">
        <f>кмс!F7+МАКС!F7+сол!F7</f>
        <v>0</v>
      </c>
      <c r="AA14" s="90">
        <f>кмс!I7+МАКС!I7+сол!I7</f>
        <v>0</v>
      </c>
      <c r="AB14" s="113">
        <f t="shared" si="3"/>
        <v>-1833.3333333333333</v>
      </c>
    </row>
    <row r="15" spans="1:41" ht="16.5" x14ac:dyDescent="0.25">
      <c r="A15" s="66">
        <v>8</v>
      </c>
      <c r="B15" s="67" t="s">
        <v>55</v>
      </c>
      <c r="C15" s="87">
        <v>204540</v>
      </c>
      <c r="D15" s="91">
        <f>мун.зак.!I18</f>
        <v>5500</v>
      </c>
      <c r="E15" s="93">
        <f>мун.зак.!J18</f>
        <v>4058</v>
      </c>
      <c r="F15" s="183">
        <f t="shared" si="2"/>
        <v>2</v>
      </c>
      <c r="G15" s="180">
        <f t="shared" si="0"/>
        <v>73.8</v>
      </c>
      <c r="H15" s="107" t="e">
        <f>[1]совита!L8+#REF!+L15+#REF!</f>
        <v>#REF!</v>
      </c>
      <c r="I15" s="107" t="e">
        <f>[1]совита!M8+#REF!+M15+#REF!</f>
        <v>#REF!</v>
      </c>
      <c r="J15" s="106" t="e">
        <f>[1]совита!N8+#REF!+N15+#REF!</f>
        <v>#REF!</v>
      </c>
      <c r="K15" s="107" t="e">
        <f>[1]совита!O8+#REF!+#REF!</f>
        <v>#REF!</v>
      </c>
      <c r="L15" s="107" t="e">
        <f>[1]совита!P8+#REF!+#REF!</f>
        <v>#REF!</v>
      </c>
      <c r="M15" s="107" t="e">
        <f>[1]совита!Q8+#REF!+#REF!</f>
        <v>#REF!</v>
      </c>
      <c r="N15" s="106" t="e">
        <f>[1]совита!R8+#REF!+#REF!</f>
        <v>#REF!</v>
      </c>
      <c r="O15" s="65"/>
      <c r="P15" s="65"/>
      <c r="Q15" s="65"/>
      <c r="R15" s="65"/>
      <c r="S15" s="65" t="e">
        <f>#REF!+#REF!+H15</f>
        <v>#REF!</v>
      </c>
      <c r="T15" s="65" t="e">
        <f>#REF!+#REF!+I15</f>
        <v>#REF!</v>
      </c>
      <c r="U15" s="130">
        <v>44154</v>
      </c>
      <c r="V15" s="129">
        <v>11631</v>
      </c>
      <c r="W15" s="129">
        <v>190000</v>
      </c>
      <c r="X15" s="113" t="e">
        <f>Y15-#REF!</f>
        <v>#REF!</v>
      </c>
      <c r="Y15" s="90">
        <f>кмс!C8+МАКС!C8+сол!C8</f>
        <v>44916.666666666664</v>
      </c>
      <c r="Z15" s="90">
        <f>кмс!F8+МАКС!F8+сол!F8</f>
        <v>9625</v>
      </c>
      <c r="AA15" s="90">
        <f>кмс!I8+МАКС!I8+сол!I8</f>
        <v>0</v>
      </c>
      <c r="AB15" s="113">
        <f t="shared" si="3"/>
        <v>-5500</v>
      </c>
    </row>
    <row r="16" spans="1:41" ht="16.5" x14ac:dyDescent="0.25">
      <c r="A16" s="66">
        <v>9</v>
      </c>
      <c r="B16" s="67" t="s">
        <v>56</v>
      </c>
      <c r="C16" s="87">
        <v>63300</v>
      </c>
      <c r="D16" s="91">
        <f>мун.зак.!I19</f>
        <v>1833.3333333333333</v>
      </c>
      <c r="E16" s="93">
        <f>мун.зак.!J19</f>
        <v>308</v>
      </c>
      <c r="F16" s="183">
        <f t="shared" si="2"/>
        <v>0.5</v>
      </c>
      <c r="G16" s="180">
        <f t="shared" si="0"/>
        <v>16.8</v>
      </c>
      <c r="H16" s="107" t="e">
        <f>[1]совита!L9+#REF!+L16+#REF!</f>
        <v>#REF!</v>
      </c>
      <c r="I16" s="107" t="e">
        <f>[1]совита!M9+#REF!+M16+#REF!</f>
        <v>#REF!</v>
      </c>
      <c r="J16" s="106" t="e">
        <f>[1]совита!N9+#REF!+N16+#REF!</f>
        <v>#REF!</v>
      </c>
      <c r="K16" s="107" t="e">
        <f>[1]совита!O9+#REF!+#REF!</f>
        <v>#REF!</v>
      </c>
      <c r="L16" s="107" t="e">
        <f>[1]совита!P9+#REF!+#REF!</f>
        <v>#REF!</v>
      </c>
      <c r="M16" s="107" t="e">
        <f>[1]совита!Q9+#REF!+#REF!</f>
        <v>#REF!</v>
      </c>
      <c r="N16" s="106" t="e">
        <f>[1]совита!R9+#REF!+#REF!</f>
        <v>#REF!</v>
      </c>
      <c r="O16" s="65">
        <v>0</v>
      </c>
      <c r="P16" s="65">
        <v>0</v>
      </c>
      <c r="Q16" s="65">
        <v>0</v>
      </c>
      <c r="R16" s="65">
        <v>0</v>
      </c>
      <c r="S16" s="65" t="e">
        <f>#REF!+#REF!+H16</f>
        <v>#REF!</v>
      </c>
      <c r="T16" s="65" t="e">
        <f>#REF!+#REF!+I16</f>
        <v>#REF!</v>
      </c>
      <c r="U16" s="130">
        <v>2854</v>
      </c>
      <c r="V16" s="129">
        <v>4210</v>
      </c>
      <c r="W16" s="129">
        <v>57500</v>
      </c>
      <c r="X16" s="113" t="e">
        <f>Y16-#REF!</f>
        <v>#REF!</v>
      </c>
      <c r="Y16" s="90">
        <f>кмс!C9+МАКС!C9+сол!C9</f>
        <v>34833.333333333336</v>
      </c>
      <c r="Z16" s="90">
        <f>кмс!F9+МАКС!F9+сол!F9</f>
        <v>18333.333333333332</v>
      </c>
      <c r="AA16" s="90">
        <f>кмс!I9+МАКС!I9+сол!I9</f>
        <v>0</v>
      </c>
      <c r="AB16" s="113">
        <f t="shared" si="3"/>
        <v>-1833.3333333333333</v>
      </c>
    </row>
    <row r="17" spans="1:28" ht="16.5" x14ac:dyDescent="0.25">
      <c r="A17" s="66">
        <v>10</v>
      </c>
      <c r="B17" s="67" t="s">
        <v>108</v>
      </c>
      <c r="C17" s="87">
        <v>214280</v>
      </c>
      <c r="D17" s="91">
        <f>мун.зак.!I20</f>
        <v>9166.6666666666679</v>
      </c>
      <c r="E17" s="93">
        <f>мун.зак.!J20</f>
        <v>6624</v>
      </c>
      <c r="F17" s="183">
        <f t="shared" si="2"/>
        <v>3.1</v>
      </c>
      <c r="G17" s="180">
        <f t="shared" si="0"/>
        <v>72.3</v>
      </c>
      <c r="H17" s="107" t="e">
        <f>[1]совита!L11+#REF!+L17+#REF!</f>
        <v>#REF!</v>
      </c>
      <c r="I17" s="107" t="e">
        <f>[1]совита!M11+#REF!+M17+#REF!</f>
        <v>#REF!</v>
      </c>
      <c r="J17" s="106" t="e">
        <f>[1]совита!N11+#REF!+N17+#REF!</f>
        <v>#REF!</v>
      </c>
      <c r="K17" s="107" t="e">
        <f>[1]совита!O11+#REF!+#REF!</f>
        <v>#REF!</v>
      </c>
      <c r="L17" s="107" t="e">
        <f>[1]совита!P11+#REF!+#REF!</f>
        <v>#REF!</v>
      </c>
      <c r="M17" s="107" t="e">
        <f>[1]совита!Q11+#REF!+#REF!</f>
        <v>#REF!</v>
      </c>
      <c r="N17" s="106" t="e">
        <f>[1]совита!R11+#REF!+#REF!</f>
        <v>#REF!</v>
      </c>
      <c r="O17" s="65">
        <v>0</v>
      </c>
      <c r="P17" s="65">
        <v>0</v>
      </c>
      <c r="Q17" s="65">
        <v>0</v>
      </c>
      <c r="R17" s="65">
        <v>0</v>
      </c>
      <c r="S17" s="65" t="e">
        <f>#REF!+#REF!+H17</f>
        <v>#REF!</v>
      </c>
      <c r="T17" s="65" t="e">
        <f>#REF!+#REF!+I17</f>
        <v>#REF!</v>
      </c>
      <c r="U17" s="130">
        <v>40224</v>
      </c>
      <c r="V17" s="129">
        <v>3519</v>
      </c>
      <c r="W17" s="129">
        <v>210425</v>
      </c>
      <c r="X17" s="113" t="e">
        <f>Y17-#REF!</f>
        <v>#REF!</v>
      </c>
      <c r="Y17" s="90">
        <f>кмс!C11+МАКС!C11+сол!C11</f>
        <v>40333.333333333336</v>
      </c>
      <c r="Z17" s="90">
        <f>кмс!F11+МАКС!F11+сол!F11</f>
        <v>18333.333333333336</v>
      </c>
      <c r="AA17" s="90">
        <f>кмс!I11+МАКС!I11+сол!I11</f>
        <v>0</v>
      </c>
      <c r="AB17" s="113">
        <f t="shared" si="3"/>
        <v>-9166.6666666666679</v>
      </c>
    </row>
    <row r="18" spans="1:28" ht="16.5" x14ac:dyDescent="0.25">
      <c r="A18" s="66">
        <v>11</v>
      </c>
      <c r="B18" s="67" t="s">
        <v>57</v>
      </c>
      <c r="C18" s="87">
        <v>34100</v>
      </c>
      <c r="D18" s="91">
        <f>мун.зак.!I21</f>
        <v>60.5</v>
      </c>
      <c r="E18" s="93">
        <f>мун.зак.!J21</f>
        <v>70</v>
      </c>
      <c r="F18" s="183">
        <f t="shared" si="2"/>
        <v>0.2</v>
      </c>
      <c r="G18" s="180">
        <f t="shared" si="0"/>
        <v>115.7</v>
      </c>
      <c r="H18" s="107" t="e">
        <f>[1]совита!L12+#REF!+L18+#REF!</f>
        <v>#REF!</v>
      </c>
      <c r="I18" s="107" t="e">
        <f>[1]совита!M12+#REF!+M18+#REF!</f>
        <v>#REF!</v>
      </c>
      <c r="J18" s="106" t="e">
        <f>[1]совита!N12+#REF!+N18+#REF!</f>
        <v>#REF!</v>
      </c>
      <c r="K18" s="107" t="e">
        <f>[1]совита!O12+#REF!+#REF!</f>
        <v>#REF!</v>
      </c>
      <c r="L18" s="107" t="e">
        <f>[1]совита!P12+#REF!+#REF!</f>
        <v>#REF!</v>
      </c>
      <c r="M18" s="107" t="e">
        <f>[1]совита!Q12+#REF!+#REF!</f>
        <v>#REF!</v>
      </c>
      <c r="N18" s="106" t="e">
        <f>[1]совита!R12+#REF!+#REF!</f>
        <v>#REF!</v>
      </c>
      <c r="O18" s="65">
        <v>0</v>
      </c>
      <c r="P18" s="65">
        <v>0</v>
      </c>
      <c r="Q18" s="65">
        <v>0</v>
      </c>
      <c r="R18" s="65">
        <v>0</v>
      </c>
      <c r="S18" s="65" t="e">
        <f>#REF!+#REF!+H18</f>
        <v>#REF!</v>
      </c>
      <c r="T18" s="65" t="e">
        <f>#REF!+#REF!+I18</f>
        <v>#REF!</v>
      </c>
      <c r="U18" s="130">
        <v>2350</v>
      </c>
      <c r="V18" s="129">
        <v>2614</v>
      </c>
      <c r="W18" s="129">
        <v>25500</v>
      </c>
      <c r="X18" s="113" t="e">
        <f>Y18-#REF!</f>
        <v>#REF!</v>
      </c>
      <c r="Y18" s="90">
        <f>кмс!C12+МАКС!C12+сол!C12</f>
        <v>0</v>
      </c>
      <c r="Z18" s="90">
        <f>кмс!F12+МАКС!F12+сол!F12</f>
        <v>23833.333333333332</v>
      </c>
      <c r="AA18" s="90">
        <f>кмс!I12+МАКС!I12+сол!I12</f>
        <v>0</v>
      </c>
      <c r="AB18" s="113">
        <f t="shared" si="3"/>
        <v>-60.5</v>
      </c>
    </row>
    <row r="19" spans="1:28" ht="16.5" x14ac:dyDescent="0.25">
      <c r="A19" s="66">
        <v>12</v>
      </c>
      <c r="B19" s="67" t="s">
        <v>58</v>
      </c>
      <c r="C19" s="87">
        <v>65200</v>
      </c>
      <c r="D19" s="91">
        <f>мун.зак.!I22</f>
        <v>2750</v>
      </c>
      <c r="E19" s="93">
        <f>мун.зак.!J22</f>
        <v>1693</v>
      </c>
      <c r="F19" s="183">
        <f t="shared" si="2"/>
        <v>2.6</v>
      </c>
      <c r="G19" s="180">
        <f t="shared" si="0"/>
        <v>61.6</v>
      </c>
      <c r="H19" s="107" t="e">
        <f>[1]совита!L13+#REF!+L19+#REF!</f>
        <v>#REF!</v>
      </c>
      <c r="I19" s="107" t="e">
        <f>[1]совита!M13+#REF!+M19+#REF!</f>
        <v>#REF!</v>
      </c>
      <c r="J19" s="106" t="e">
        <f>[1]совита!N13+#REF!+N19+#REF!</f>
        <v>#REF!</v>
      </c>
      <c r="K19" s="107" t="e">
        <f>[1]совита!O13+#REF!+#REF!</f>
        <v>#REF!</v>
      </c>
      <c r="L19" s="107" t="e">
        <f>[1]совита!P13+#REF!+#REF!</f>
        <v>#REF!</v>
      </c>
      <c r="M19" s="107" t="e">
        <f>[1]совита!Q13+#REF!+#REF!</f>
        <v>#REF!</v>
      </c>
      <c r="N19" s="106" t="e">
        <f>[1]совита!R13+#REF!+#REF!</f>
        <v>#REF!</v>
      </c>
      <c r="O19" s="65">
        <v>0</v>
      </c>
      <c r="P19" s="65">
        <v>0</v>
      </c>
      <c r="Q19" s="65">
        <v>0</v>
      </c>
      <c r="R19" s="65">
        <v>0</v>
      </c>
      <c r="S19" s="65" t="e">
        <f>#REF!+#REF!+H19</f>
        <v>#REF!</v>
      </c>
      <c r="T19" s="65" t="e">
        <f>#REF!+#REF!+I19</f>
        <v>#REF!</v>
      </c>
      <c r="U19" s="130">
        <v>6938</v>
      </c>
      <c r="V19" s="129">
        <v>3026</v>
      </c>
      <c r="W19" s="129">
        <v>72585</v>
      </c>
      <c r="X19" s="113" t="e">
        <f>Y19-#REF!</f>
        <v>#REF!</v>
      </c>
      <c r="Y19" s="90" t="e">
        <f>кмс!#REF!+МАКС!#REF!+сол!#REF!</f>
        <v>#REF!</v>
      </c>
      <c r="Z19" s="90" t="e">
        <f>кмс!#REF!+МАКС!#REF!+сол!#REF!</f>
        <v>#REF!</v>
      </c>
      <c r="AA19" s="90" t="e">
        <f>кмс!#REF!+МАКС!#REF!+сол!#REF!</f>
        <v>#REF!</v>
      </c>
      <c r="AB19" s="113" t="e">
        <f t="shared" si="3"/>
        <v>#REF!</v>
      </c>
    </row>
    <row r="20" spans="1:28" ht="16.5" x14ac:dyDescent="0.25">
      <c r="A20" s="66">
        <v>13</v>
      </c>
      <c r="B20" s="67" t="s">
        <v>59</v>
      </c>
      <c r="C20" s="87">
        <v>63300</v>
      </c>
      <c r="D20" s="91">
        <f>мун.зак.!I23</f>
        <v>2750</v>
      </c>
      <c r="E20" s="93">
        <f>мун.зак.!J23</f>
        <v>1605</v>
      </c>
      <c r="F20" s="183">
        <f t="shared" si="2"/>
        <v>2.5</v>
      </c>
      <c r="G20" s="180">
        <f t="shared" si="0"/>
        <v>58.4</v>
      </c>
      <c r="H20" s="107" t="e">
        <f>[1]совита!L14+#REF!+L20+#REF!</f>
        <v>#REF!</v>
      </c>
      <c r="I20" s="107" t="e">
        <f>[1]совита!M14+#REF!+M20+#REF!</f>
        <v>#REF!</v>
      </c>
      <c r="J20" s="106" t="e">
        <f>[1]совита!N14+#REF!+N20+#REF!</f>
        <v>#REF!</v>
      </c>
      <c r="K20" s="107" t="e">
        <f>[1]совита!O14+#REF!+#REF!</f>
        <v>#REF!</v>
      </c>
      <c r="L20" s="107" t="e">
        <f>[1]совита!P14+#REF!+#REF!</f>
        <v>#REF!</v>
      </c>
      <c r="M20" s="107" t="e">
        <f>[1]совита!Q14+#REF!+#REF!</f>
        <v>#REF!</v>
      </c>
      <c r="N20" s="106" t="e">
        <f>[1]совита!R14+#REF!+#REF!</f>
        <v>#REF!</v>
      </c>
      <c r="O20" s="65">
        <v>0</v>
      </c>
      <c r="P20" s="65">
        <v>0</v>
      </c>
      <c r="Q20" s="65">
        <v>0</v>
      </c>
      <c r="R20" s="65">
        <v>0</v>
      </c>
      <c r="S20" s="65" t="e">
        <f>#REF!+#REF!+H20</f>
        <v>#REF!</v>
      </c>
      <c r="T20" s="65" t="e">
        <f>#REF!+#REF!+I20</f>
        <v>#REF!</v>
      </c>
      <c r="U20" s="129">
        <v>9585</v>
      </c>
      <c r="V20" s="129">
        <v>3368</v>
      </c>
      <c r="W20" s="129">
        <v>56900</v>
      </c>
      <c r="X20" s="113" t="e">
        <f>Y20-#REF!</f>
        <v>#REF!</v>
      </c>
      <c r="Y20" s="157">
        <f>кмс!C13+МАКС!C13+сол!C13</f>
        <v>0</v>
      </c>
      <c r="Z20" s="157">
        <f>кмс!F13+МАКС!F13+сол!F13</f>
        <v>0</v>
      </c>
      <c r="AA20" s="157">
        <f>кмс!I13+МАКС!I13+сол!I13</f>
        <v>0</v>
      </c>
      <c r="AB20" s="113">
        <f t="shared" si="3"/>
        <v>-2750</v>
      </c>
    </row>
    <row r="21" spans="1:28" ht="16.5" x14ac:dyDescent="0.25">
      <c r="A21" s="66">
        <v>14</v>
      </c>
      <c r="B21" s="67" t="s">
        <v>60</v>
      </c>
      <c r="C21" s="87">
        <v>92500</v>
      </c>
      <c r="D21" s="91">
        <f>мун.зак.!I24</f>
        <v>2750</v>
      </c>
      <c r="E21" s="93">
        <f>мун.зак.!J24</f>
        <v>1084</v>
      </c>
      <c r="F21" s="183">
        <f t="shared" si="2"/>
        <v>1.2</v>
      </c>
      <c r="G21" s="180">
        <f t="shared" si="0"/>
        <v>39.4</v>
      </c>
      <c r="H21" s="107" t="e">
        <f>[1]совита!L15+#REF!+L21+#REF!</f>
        <v>#REF!</v>
      </c>
      <c r="I21" s="107" t="e">
        <f>[1]совита!M15+#REF!+M21+#REF!</f>
        <v>#REF!</v>
      </c>
      <c r="J21" s="106" t="e">
        <f>[1]совита!N15+#REF!+N21+#REF!</f>
        <v>#REF!</v>
      </c>
      <c r="K21" s="107" t="e">
        <f>[1]совита!O15+#REF!+#REF!</f>
        <v>#REF!</v>
      </c>
      <c r="L21" s="107" t="e">
        <f>[1]совита!P15+#REF!+#REF!</f>
        <v>#REF!</v>
      </c>
      <c r="M21" s="107" t="e">
        <f>[1]совита!Q15+#REF!+#REF!</f>
        <v>#REF!</v>
      </c>
      <c r="N21" s="106" t="e">
        <f>[1]совита!R15+#REF!+#REF!</f>
        <v>#REF!</v>
      </c>
      <c r="O21" s="65">
        <v>0</v>
      </c>
      <c r="P21" s="65">
        <v>0</v>
      </c>
      <c r="Q21" s="65">
        <v>0</v>
      </c>
      <c r="R21" s="65">
        <v>0</v>
      </c>
      <c r="S21" s="65" t="e">
        <f>#REF!+#REF!+H21</f>
        <v>#REF!</v>
      </c>
      <c r="T21" s="65" t="e">
        <f>#REF!+#REF!+I21</f>
        <v>#REF!</v>
      </c>
      <c r="U21" s="130">
        <v>13236</v>
      </c>
      <c r="V21" s="129">
        <v>5895</v>
      </c>
      <c r="W21" s="129">
        <v>89300</v>
      </c>
      <c r="X21" s="113" t="e">
        <f>Y21-#REF!</f>
        <v>#REF!</v>
      </c>
      <c r="Y21" s="90">
        <f>кмс!C16+МАКС!C16+сол!C16</f>
        <v>115440.41666666666</v>
      </c>
      <c r="Z21" s="90">
        <f>кмс!F16+МАКС!F16+сол!F16</f>
        <v>47624.5</v>
      </c>
      <c r="AA21" s="90">
        <f>кмс!I16+МАКС!I16+сол!I16</f>
        <v>29393.833333333332</v>
      </c>
      <c r="AB21" s="113">
        <f t="shared" si="3"/>
        <v>26643.833333333332</v>
      </c>
    </row>
    <row r="22" spans="1:28" ht="16.5" x14ac:dyDescent="0.25">
      <c r="A22" s="66">
        <v>15</v>
      </c>
      <c r="B22" s="67" t="s">
        <v>61</v>
      </c>
      <c r="C22" s="87">
        <v>70600</v>
      </c>
      <c r="D22" s="91">
        <f>мун.зак.!I27</f>
        <v>3666.6666666666665</v>
      </c>
      <c r="E22" s="93">
        <f>мун.зак.!J27</f>
        <v>2036</v>
      </c>
      <c r="F22" s="183">
        <f t="shared" si="2"/>
        <v>2.9</v>
      </c>
      <c r="G22" s="180">
        <f t="shared" si="0"/>
        <v>55.5</v>
      </c>
      <c r="H22" s="107" t="e">
        <f>[1]совита!L17+#REF!+L22+#REF!</f>
        <v>#REF!</v>
      </c>
      <c r="I22" s="107" t="e">
        <f>[1]совита!M17+#REF!+M22+#REF!</f>
        <v>#REF!</v>
      </c>
      <c r="J22" s="106" t="e">
        <f>[1]совита!N17+#REF!+N22+#REF!</f>
        <v>#REF!</v>
      </c>
      <c r="K22" s="107" t="e">
        <f>[1]совита!O17+#REF!+#REF!</f>
        <v>#REF!</v>
      </c>
      <c r="L22" s="107" t="e">
        <f>[1]совита!P17+#REF!+#REF!</f>
        <v>#REF!</v>
      </c>
      <c r="M22" s="107" t="e">
        <f>[1]совита!Q17+#REF!+#REF!</f>
        <v>#REF!</v>
      </c>
      <c r="N22" s="106" t="e">
        <f>[1]совита!R17+#REF!+#REF!</f>
        <v>#REF!</v>
      </c>
      <c r="O22" s="65">
        <v>0</v>
      </c>
      <c r="P22" s="65">
        <v>0</v>
      </c>
      <c r="Q22" s="65">
        <v>0</v>
      </c>
      <c r="R22" s="65">
        <v>0</v>
      </c>
      <c r="S22" s="65" t="e">
        <f>#REF!+#REF!+H22</f>
        <v>#REF!</v>
      </c>
      <c r="T22" s="65" t="e">
        <f>#REF!+#REF!+I22</f>
        <v>#REF!</v>
      </c>
      <c r="U22" s="130">
        <v>8307</v>
      </c>
      <c r="V22" s="129">
        <v>3820</v>
      </c>
      <c r="W22" s="129">
        <v>69500</v>
      </c>
      <c r="X22" s="113" t="e">
        <f>Y22-#REF!</f>
        <v>#REF!</v>
      </c>
      <c r="Y22" s="90">
        <f>кмс!C18+МАКС!C18+сол!C18</f>
        <v>33000</v>
      </c>
      <c r="Z22" s="90">
        <f>кмс!F18+МАКС!F18+сол!F18</f>
        <v>9166.6666666666661</v>
      </c>
      <c r="AA22" s="90">
        <f>кмс!I18+МАКС!I18+сол!I18</f>
        <v>5500</v>
      </c>
      <c r="AB22" s="113">
        <f t="shared" si="3"/>
        <v>1833.3333333333335</v>
      </c>
    </row>
    <row r="23" spans="1:28" ht="16.5" x14ac:dyDescent="0.25">
      <c r="A23" s="66">
        <v>16</v>
      </c>
      <c r="B23" s="67" t="s">
        <v>62</v>
      </c>
      <c r="C23" s="87">
        <v>2000</v>
      </c>
      <c r="D23" s="91" t="e">
        <f>мун.зак.!#REF!</f>
        <v>#REF!</v>
      </c>
      <c r="E23" s="93" t="e">
        <f>мун.зак.!#REF!</f>
        <v>#REF!</v>
      </c>
      <c r="F23" s="183" t="e">
        <f t="shared" si="2"/>
        <v>#REF!</v>
      </c>
      <c r="G23" s="180" t="e">
        <f t="shared" si="0"/>
        <v>#REF!</v>
      </c>
      <c r="H23" s="107" t="e">
        <f>[1]совита!L18+#REF!+L23+#REF!</f>
        <v>#REF!</v>
      </c>
      <c r="I23" s="107" t="e">
        <f>[1]совита!M18+#REF!+M23+#REF!</f>
        <v>#REF!</v>
      </c>
      <c r="J23" s="106" t="e">
        <f>[1]совита!N18+#REF!+N23+#REF!</f>
        <v>#REF!</v>
      </c>
      <c r="K23" s="107" t="e">
        <f>[1]совита!O18+#REF!+#REF!</f>
        <v>#REF!</v>
      </c>
      <c r="L23" s="107" t="e">
        <f>[1]совита!P18+#REF!+#REF!</f>
        <v>#REF!</v>
      </c>
      <c r="M23" s="107" t="e">
        <f>[1]совита!Q18+#REF!+#REF!</f>
        <v>#REF!</v>
      </c>
      <c r="N23" s="106" t="e">
        <f>[1]совита!R18+#REF!+#REF!</f>
        <v>#REF!</v>
      </c>
      <c r="O23" s="65">
        <v>0</v>
      </c>
      <c r="P23" s="65">
        <v>0</v>
      </c>
      <c r="Q23" s="65">
        <v>0</v>
      </c>
      <c r="R23" s="65">
        <v>0</v>
      </c>
      <c r="S23" s="65" t="e">
        <f>#REF!+#REF!+H23</f>
        <v>#REF!</v>
      </c>
      <c r="T23" s="65" t="e">
        <f>#REF!+#REF!+I23</f>
        <v>#REF!</v>
      </c>
      <c r="U23" s="130"/>
      <c r="V23" s="129"/>
      <c r="W23" s="129">
        <v>3500</v>
      </c>
      <c r="X23" s="113" t="e">
        <f>Y23-#REF!</f>
        <v>#REF!</v>
      </c>
      <c r="Y23" s="90" t="e">
        <f>кмс!#REF!+МАКС!#REF!+сол!#REF!</f>
        <v>#REF!</v>
      </c>
      <c r="Z23" s="90" t="e">
        <f>кмс!#REF!+МАКС!#REF!+сол!#REF!</f>
        <v>#REF!</v>
      </c>
      <c r="AA23" s="90" t="e">
        <f>кмс!#REF!+МАКС!#REF!+сол!#REF!</f>
        <v>#REF!</v>
      </c>
      <c r="AB23" s="113" t="e">
        <f t="shared" si="3"/>
        <v>#REF!</v>
      </c>
    </row>
    <row r="24" spans="1:28" ht="16.5" x14ac:dyDescent="0.25">
      <c r="A24" s="66">
        <v>17</v>
      </c>
      <c r="B24" s="67" t="s">
        <v>63</v>
      </c>
      <c r="C24" s="87">
        <v>56500</v>
      </c>
      <c r="D24" s="91">
        <f>мун.зак.!I28</f>
        <v>1375</v>
      </c>
      <c r="E24" s="93">
        <f>мун.зак.!J28</f>
        <v>308</v>
      </c>
      <c r="F24" s="183">
        <f t="shared" si="2"/>
        <v>0.5</v>
      </c>
      <c r="G24" s="180">
        <f t="shared" si="0"/>
        <v>22.4</v>
      </c>
      <c r="H24" s="107" t="e">
        <f>[1]совита!L19+#REF!+L24+#REF!</f>
        <v>#REF!</v>
      </c>
      <c r="I24" s="107" t="e">
        <f>[1]совита!M19+#REF!+M24+#REF!</f>
        <v>#REF!</v>
      </c>
      <c r="J24" s="106" t="e">
        <f>[1]совита!N19+#REF!+N24+#REF!</f>
        <v>#REF!</v>
      </c>
      <c r="K24" s="107" t="e">
        <f>[1]совита!O19+#REF!+#REF!</f>
        <v>#REF!</v>
      </c>
      <c r="L24" s="107" t="e">
        <f>[1]совита!P19+#REF!+#REF!</f>
        <v>#REF!</v>
      </c>
      <c r="M24" s="107" t="e">
        <f>[1]совита!Q19+#REF!+#REF!</f>
        <v>#REF!</v>
      </c>
      <c r="N24" s="106" t="e">
        <f>[1]совита!R19+#REF!+#REF!</f>
        <v>#REF!</v>
      </c>
      <c r="O24" s="65">
        <v>0</v>
      </c>
      <c r="P24" s="65">
        <v>0</v>
      </c>
      <c r="Q24" s="65">
        <v>0</v>
      </c>
      <c r="R24" s="65">
        <v>0</v>
      </c>
      <c r="S24" s="65" t="e">
        <f>#REF!+#REF!+H24</f>
        <v>#REF!</v>
      </c>
      <c r="T24" s="65" t="e">
        <f>#REF!+#REF!+I24</f>
        <v>#REF!</v>
      </c>
      <c r="U24" s="130">
        <v>6755</v>
      </c>
      <c r="V24" s="129">
        <v>3278</v>
      </c>
      <c r="W24" s="129">
        <v>68110</v>
      </c>
      <c r="X24" s="113" t="e">
        <f>Y24-#REF!</f>
        <v>#REF!</v>
      </c>
      <c r="Y24" s="90">
        <f>кмс!C19+МАКС!C19+сол!C19</f>
        <v>0</v>
      </c>
      <c r="Z24" s="90">
        <f>кмс!F19+МАКС!F19+сол!F19</f>
        <v>6416.666666666667</v>
      </c>
      <c r="AA24" s="90">
        <f>кмс!I19+МАКС!I19+сол!I19</f>
        <v>1833.3333333333333</v>
      </c>
      <c r="AB24" s="113">
        <f t="shared" si="3"/>
        <v>458.33333333333326</v>
      </c>
    </row>
    <row r="25" spans="1:28" ht="16.5" x14ac:dyDescent="0.25">
      <c r="A25" s="66">
        <v>18</v>
      </c>
      <c r="B25" s="67" t="s">
        <v>64</v>
      </c>
      <c r="C25" s="87">
        <v>148000</v>
      </c>
      <c r="D25" s="91">
        <f>мун.зак.!I29</f>
        <v>1833.3333333333333</v>
      </c>
      <c r="E25" s="93">
        <f>мун.зак.!J29</f>
        <v>848</v>
      </c>
      <c r="F25" s="183">
        <f t="shared" si="2"/>
        <v>0.6</v>
      </c>
      <c r="G25" s="180">
        <f t="shared" si="0"/>
        <v>46.3</v>
      </c>
      <c r="H25" s="107" t="e">
        <f>[1]совита!L20+#REF!+L25+#REF!</f>
        <v>#REF!</v>
      </c>
      <c r="I25" s="107" t="e">
        <f>[1]совита!M20+#REF!+M25+#REF!</f>
        <v>#REF!</v>
      </c>
      <c r="J25" s="106" t="e">
        <f>[1]совита!N20+#REF!+N25+#REF!</f>
        <v>#REF!</v>
      </c>
      <c r="K25" s="107" t="e">
        <f>[1]совита!O20+#REF!+#REF!</f>
        <v>#REF!</v>
      </c>
      <c r="L25" s="107" t="e">
        <f>[1]совита!P20+#REF!+#REF!</f>
        <v>#REF!</v>
      </c>
      <c r="M25" s="107" t="e">
        <f>[1]совита!Q20+#REF!+#REF!</f>
        <v>#REF!</v>
      </c>
      <c r="N25" s="106" t="e">
        <f>[1]совита!R20+#REF!+#REF!</f>
        <v>#REF!</v>
      </c>
      <c r="O25" s="65">
        <v>0</v>
      </c>
      <c r="P25" s="65">
        <v>0</v>
      </c>
      <c r="Q25" s="65">
        <v>0</v>
      </c>
      <c r="R25" s="65">
        <v>0</v>
      </c>
      <c r="S25" s="65" t="e">
        <f>#REF!+#REF!+H25</f>
        <v>#REF!</v>
      </c>
      <c r="T25" s="65" t="e">
        <f>#REF!+#REF!+I25</f>
        <v>#REF!</v>
      </c>
      <c r="U25" s="130">
        <v>16543</v>
      </c>
      <c r="V25" s="129">
        <v>6183</v>
      </c>
      <c r="W25" s="129">
        <v>100985</v>
      </c>
      <c r="X25" s="113" t="e">
        <f>Y25-#REF!</f>
        <v>#REF!</v>
      </c>
      <c r="Y25" s="90">
        <f>кмс!C20+МАКС!C20+сол!C20</f>
        <v>59583.333333333328</v>
      </c>
      <c r="Z25" s="90">
        <f>кмс!F20+МАКС!F20+сол!F20</f>
        <v>10083.333333333334</v>
      </c>
      <c r="AA25" s="90">
        <f>кмс!I20+МАКС!I20+сол!I20</f>
        <v>9166.6666666666661</v>
      </c>
      <c r="AB25" s="113">
        <f t="shared" si="3"/>
        <v>7333.333333333333</v>
      </c>
    </row>
    <row r="26" spans="1:28" ht="15.4" customHeight="1" x14ac:dyDescent="0.25">
      <c r="A26" s="66">
        <v>19</v>
      </c>
      <c r="B26" s="67" t="s">
        <v>109</v>
      </c>
      <c r="C26" s="87">
        <v>171000</v>
      </c>
      <c r="D26" s="91">
        <f>мун.зак.!I30</f>
        <v>2750</v>
      </c>
      <c r="E26" s="93">
        <f>мун.зак.!J30</f>
        <v>1700</v>
      </c>
      <c r="F26" s="183">
        <f t="shared" si="2"/>
        <v>1</v>
      </c>
      <c r="G26" s="180">
        <f t="shared" si="0"/>
        <v>61.8</v>
      </c>
      <c r="H26" s="107" t="e">
        <f>[1]совита!L22+#REF!+L26+#REF!</f>
        <v>#REF!</v>
      </c>
      <c r="I26" s="107" t="e">
        <f>[1]совита!M22+#REF!+M26+#REF!</f>
        <v>#REF!</v>
      </c>
      <c r="J26" s="106" t="e">
        <f>[1]совита!N22+#REF!+N26+#REF!</f>
        <v>#REF!</v>
      </c>
      <c r="K26" s="107" t="e">
        <f>[1]совита!O22+#REF!+#REF!</f>
        <v>#REF!</v>
      </c>
      <c r="L26" s="107" t="e">
        <f>[1]совита!P22+#REF!+#REF!</f>
        <v>#REF!</v>
      </c>
      <c r="M26" s="107" t="e">
        <f>[1]совита!Q22+#REF!+#REF!</f>
        <v>#REF!</v>
      </c>
      <c r="N26" s="106" t="e">
        <f>[1]совита!R22+#REF!+#REF!</f>
        <v>#REF!</v>
      </c>
      <c r="O26" s="65">
        <v>0</v>
      </c>
      <c r="P26" s="65">
        <v>0</v>
      </c>
      <c r="Q26" s="65">
        <v>0</v>
      </c>
      <c r="R26" s="65">
        <v>0</v>
      </c>
      <c r="S26" s="65" t="e">
        <f>#REF!+#REF!+H26</f>
        <v>#REF!</v>
      </c>
      <c r="T26" s="65" t="e">
        <f>#REF!+#REF!+I26</f>
        <v>#REF!</v>
      </c>
      <c r="U26" s="130">
        <v>31323</v>
      </c>
      <c r="V26" s="129">
        <v>7261</v>
      </c>
      <c r="W26" s="129">
        <v>135875</v>
      </c>
      <c r="X26" s="113" t="e">
        <f>Y26-#REF!</f>
        <v>#REF!</v>
      </c>
      <c r="Y26" s="90">
        <f>кмс!C21+МАКС!C21+сол!C21</f>
        <v>490.41666666666663</v>
      </c>
      <c r="Z26" s="90">
        <f>кмс!F21+МАКС!F21+сол!F21</f>
        <v>3624.5</v>
      </c>
      <c r="AA26" s="90">
        <f>кмс!I21+МАКС!I21+сол!I21</f>
        <v>60.5</v>
      </c>
      <c r="AB26" s="113">
        <f t="shared" si="3"/>
        <v>-2689.5</v>
      </c>
    </row>
    <row r="27" spans="1:28" ht="16.5" x14ac:dyDescent="0.25">
      <c r="A27" s="66">
        <v>20</v>
      </c>
      <c r="B27" s="67" t="s">
        <v>65</v>
      </c>
      <c r="C27" s="87">
        <f>10700+8320+450</f>
        <v>19470</v>
      </c>
      <c r="D27" s="91">
        <f>мун.зак.!I31</f>
        <v>1833.3333333333333</v>
      </c>
      <c r="E27" s="93">
        <f>мун.зак.!J31</f>
        <v>398</v>
      </c>
      <c r="F27" s="183">
        <f t="shared" si="2"/>
        <v>2</v>
      </c>
      <c r="G27" s="180">
        <f t="shared" si="0"/>
        <v>21.7</v>
      </c>
      <c r="H27" s="107" t="e">
        <f>[1]совита!L23+#REF!+L27+#REF!</f>
        <v>#REF!</v>
      </c>
      <c r="I27" s="107" t="e">
        <f>[1]совита!M23+#REF!+M27+#REF!</f>
        <v>#REF!</v>
      </c>
      <c r="J27" s="106" t="e">
        <f>[1]совита!N23+#REF!+N27+#REF!</f>
        <v>#REF!</v>
      </c>
      <c r="K27" s="107" t="e">
        <f>[1]совита!O23+#REF!+#REF!</f>
        <v>#REF!</v>
      </c>
      <c r="L27" s="107" t="e">
        <f>[1]совита!P23+#REF!+#REF!</f>
        <v>#REF!</v>
      </c>
      <c r="M27" s="107" t="e">
        <f>[1]совита!Q23+#REF!+#REF!</f>
        <v>#REF!</v>
      </c>
      <c r="N27" s="106" t="e">
        <f>[1]совита!R23+#REF!+#REF!</f>
        <v>#REF!</v>
      </c>
      <c r="O27" s="65">
        <v>0</v>
      </c>
      <c r="P27" s="65">
        <v>0</v>
      </c>
      <c r="Q27" s="65">
        <v>0</v>
      </c>
      <c r="R27" s="65">
        <v>0</v>
      </c>
      <c r="S27" s="65" t="e">
        <f>#REF!+#REF!+H27</f>
        <v>#REF!</v>
      </c>
      <c r="T27" s="65" t="e">
        <f>#REF!+#REF!+I27</f>
        <v>#REF!</v>
      </c>
      <c r="U27" s="130">
        <v>1824</v>
      </c>
      <c r="V27" s="129">
        <v>1347</v>
      </c>
      <c r="W27" s="129">
        <v>11000</v>
      </c>
      <c r="X27" s="113" t="e">
        <f>Y27-#REF!</f>
        <v>#REF!</v>
      </c>
      <c r="Y27" s="90">
        <f>кмс!C22+МАКС!C22+сол!C22</f>
        <v>4675</v>
      </c>
      <c r="Z27" s="90">
        <f>кмс!F22+МАКС!F22+сол!F22</f>
        <v>3666.666666666667</v>
      </c>
      <c r="AA27" s="90">
        <f>кмс!I22+МАКС!I22+сол!I22</f>
        <v>2750</v>
      </c>
      <c r="AB27" s="113">
        <f t="shared" si="3"/>
        <v>916.66666666666674</v>
      </c>
    </row>
    <row r="28" spans="1:28" ht="16.5" x14ac:dyDescent="0.25">
      <c r="A28" s="66">
        <v>22</v>
      </c>
      <c r="B28" s="67" t="s">
        <v>66</v>
      </c>
      <c r="C28" s="87">
        <v>54550</v>
      </c>
      <c r="D28" s="91">
        <f>мун.зак.!I32</f>
        <v>1375</v>
      </c>
      <c r="E28" s="93">
        <f>мун.зак.!J32</f>
        <v>871</v>
      </c>
      <c r="F28" s="183">
        <f t="shared" si="2"/>
        <v>1.6</v>
      </c>
      <c r="G28" s="180">
        <f t="shared" si="0"/>
        <v>63.3</v>
      </c>
      <c r="H28" s="107" t="e">
        <f>[1]совита!#REF!+#REF!+L28+#REF!</f>
        <v>#REF!</v>
      </c>
      <c r="I28" s="107" t="e">
        <f>[1]совита!#REF!+#REF!+M28+#REF!</f>
        <v>#REF!</v>
      </c>
      <c r="J28" s="106" t="e">
        <f>[1]совита!#REF!+#REF!+N28+#REF!</f>
        <v>#REF!</v>
      </c>
      <c r="K28" s="107" t="e">
        <f>[1]совита!#REF!+#REF!+#REF!</f>
        <v>#REF!</v>
      </c>
      <c r="L28" s="107" t="e">
        <f>[1]совита!#REF!+#REF!+#REF!</f>
        <v>#REF!</v>
      </c>
      <c r="M28" s="107" t="e">
        <f>[1]совита!#REF!+#REF!+#REF!</f>
        <v>#REF!</v>
      </c>
      <c r="N28" s="106" t="e">
        <f>[1]совита!#REF!+#REF!+#REF!</f>
        <v>#REF!</v>
      </c>
      <c r="O28" s="65">
        <v>0</v>
      </c>
      <c r="P28" s="65">
        <v>0</v>
      </c>
      <c r="Q28" s="65">
        <v>0</v>
      </c>
      <c r="R28" s="65">
        <v>0</v>
      </c>
      <c r="S28" s="65" t="e">
        <f>#REF!+#REF!+H28</f>
        <v>#REF!</v>
      </c>
      <c r="T28" s="65" t="e">
        <f>#REF!+#REF!+I28</f>
        <v>#REF!</v>
      </c>
      <c r="U28" s="129">
        <v>5021</v>
      </c>
      <c r="V28" s="129">
        <v>2358</v>
      </c>
      <c r="W28" s="129">
        <v>55000</v>
      </c>
      <c r="X28" s="113" t="e">
        <f>Y28-#REF!</f>
        <v>#REF!</v>
      </c>
      <c r="Y28" s="90">
        <f>кмс!C23+МАКС!C23+сол!C23</f>
        <v>3758.333333333333</v>
      </c>
      <c r="Z28" s="90">
        <f>кмс!F23+МАКС!F23+сол!F23</f>
        <v>4583.333333333333</v>
      </c>
      <c r="AA28" s="90">
        <f>кмс!I23+МАКС!I23+сол!I23</f>
        <v>2750</v>
      </c>
      <c r="AB28" s="113">
        <f t="shared" si="3"/>
        <v>1375</v>
      </c>
    </row>
    <row r="29" spans="1:28" ht="16.5" x14ac:dyDescent="0.25">
      <c r="A29" s="66">
        <v>23</v>
      </c>
      <c r="B29" s="67" t="s">
        <v>67</v>
      </c>
      <c r="C29" s="87">
        <v>151600</v>
      </c>
      <c r="D29" s="91">
        <f>мун.зак.!I33</f>
        <v>1833.3333333333333</v>
      </c>
      <c r="E29" s="93">
        <f>мун.зак.!J33</f>
        <v>622</v>
      </c>
      <c r="F29" s="183">
        <f t="shared" si="2"/>
        <v>0.4</v>
      </c>
      <c r="G29" s="180">
        <f t="shared" si="0"/>
        <v>33.9</v>
      </c>
      <c r="H29" s="107" t="e">
        <f>[1]совита!L25+#REF!+L29+#REF!</f>
        <v>#REF!</v>
      </c>
      <c r="I29" s="107" t="e">
        <f>[1]совита!M25+#REF!+M29+#REF!</f>
        <v>#REF!</v>
      </c>
      <c r="J29" s="106" t="e">
        <f>[1]совита!N25+#REF!+N29+#REF!</f>
        <v>#REF!</v>
      </c>
      <c r="K29" s="107" t="e">
        <f>[1]совита!O25+#REF!+#REF!</f>
        <v>#REF!</v>
      </c>
      <c r="L29" s="107" t="e">
        <f>[1]совита!P25+#REF!+#REF!</f>
        <v>#REF!</v>
      </c>
      <c r="M29" s="107" t="e">
        <f>[1]совита!Q25+#REF!+#REF!</f>
        <v>#REF!</v>
      </c>
      <c r="N29" s="106" t="e">
        <f>[1]совита!R25+#REF!+#REF!</f>
        <v>#REF!</v>
      </c>
      <c r="O29" s="65">
        <v>0</v>
      </c>
      <c r="P29" s="65">
        <v>0</v>
      </c>
      <c r="Q29" s="65">
        <v>0</v>
      </c>
      <c r="R29" s="65">
        <v>0</v>
      </c>
      <c r="S29" s="65" t="e">
        <f>#REF!+#REF!+H29</f>
        <v>#REF!</v>
      </c>
      <c r="T29" s="65" t="e">
        <f>#REF!+#REF!+I29</f>
        <v>#REF!</v>
      </c>
      <c r="U29" s="130">
        <v>17420</v>
      </c>
      <c r="V29" s="131">
        <v>10189</v>
      </c>
      <c r="W29" s="129">
        <v>155590</v>
      </c>
      <c r="X29" s="113" t="e">
        <f>Y29-#REF!</f>
        <v>#REF!</v>
      </c>
      <c r="Y29" s="90">
        <f>кмс!C24+МАКС!C24+сол!C24</f>
        <v>6508.3333333333339</v>
      </c>
      <c r="Z29" s="90">
        <f>кмс!F24+МАКС!F24+сол!F24</f>
        <v>2750</v>
      </c>
      <c r="AA29" s="90">
        <f>кмс!I24+МАКС!I24+сол!I24</f>
        <v>2750</v>
      </c>
      <c r="AB29" s="113">
        <f t="shared" si="3"/>
        <v>916.66666666666674</v>
      </c>
    </row>
    <row r="30" spans="1:28" ht="16.5" x14ac:dyDescent="0.25">
      <c r="A30" s="66">
        <v>24</v>
      </c>
      <c r="B30" s="67" t="s">
        <v>68</v>
      </c>
      <c r="C30" s="87">
        <v>307800</v>
      </c>
      <c r="D30" s="91">
        <f>мун.зак.!I35</f>
        <v>5500</v>
      </c>
      <c r="E30" s="93">
        <f>мун.зак.!J35</f>
        <v>1940</v>
      </c>
      <c r="F30" s="183">
        <f t="shared" si="2"/>
        <v>0.6</v>
      </c>
      <c r="G30" s="180">
        <f t="shared" si="0"/>
        <v>35.299999999999997</v>
      </c>
      <c r="H30" s="107" t="e">
        <f>[1]совита!L27+#REF!+L30+#REF!</f>
        <v>#REF!</v>
      </c>
      <c r="I30" s="107" t="e">
        <f>[1]совита!M27+#REF!+M30+#REF!</f>
        <v>#REF!</v>
      </c>
      <c r="J30" s="106" t="e">
        <f>[1]совита!N27+#REF!+N30+#REF!</f>
        <v>#REF!</v>
      </c>
      <c r="K30" s="107" t="e">
        <f>[1]совита!O27+#REF!+#REF!</f>
        <v>#REF!</v>
      </c>
      <c r="L30" s="107" t="e">
        <f>[1]совита!P27+#REF!+#REF!</f>
        <v>#REF!</v>
      </c>
      <c r="M30" s="107" t="e">
        <f>[1]совита!Q27+#REF!+#REF!</f>
        <v>#REF!</v>
      </c>
      <c r="N30" s="106" t="e">
        <f>[1]совита!R27+#REF!+#REF!</f>
        <v>#REF!</v>
      </c>
      <c r="O30" s="65">
        <v>0</v>
      </c>
      <c r="P30" s="65">
        <v>0</v>
      </c>
      <c r="Q30" s="65">
        <v>0</v>
      </c>
      <c r="R30" s="65">
        <v>0</v>
      </c>
      <c r="S30" s="65" t="e">
        <f>#REF!+#REF!+H30</f>
        <v>#REF!</v>
      </c>
      <c r="T30" s="65" t="e">
        <f>#REF!+#REF!+I30</f>
        <v>#REF!</v>
      </c>
      <c r="U30" s="130">
        <v>91834</v>
      </c>
      <c r="V30" s="131">
        <v>17358</v>
      </c>
      <c r="W30" s="129">
        <v>316000</v>
      </c>
      <c r="X30" s="113" t="e">
        <f>Y30-#REF!</f>
        <v>#REF!</v>
      </c>
      <c r="Y30" s="90">
        <f>кмс!C28+МАКС!C28+сол!C28</f>
        <v>2750</v>
      </c>
      <c r="Z30" s="90">
        <f>кмс!F28+МАКС!F28+сол!F28</f>
        <v>1833.3333333333335</v>
      </c>
      <c r="AA30" s="90">
        <f>кмс!I28+МАКС!I28+сол!I28</f>
        <v>1375</v>
      </c>
      <c r="AB30" s="113">
        <f t="shared" si="3"/>
        <v>-4125</v>
      </c>
    </row>
    <row r="31" spans="1:28" ht="16.5" x14ac:dyDescent="0.25">
      <c r="A31" s="66">
        <v>27</v>
      </c>
      <c r="B31" s="67" t="s">
        <v>69</v>
      </c>
      <c r="C31" s="87">
        <v>63300</v>
      </c>
      <c r="D31" s="91" t="e">
        <f>мун.зак.!#REF!</f>
        <v>#REF!</v>
      </c>
      <c r="E31" s="93" t="e">
        <f>мун.зак.!#REF!</f>
        <v>#REF!</v>
      </c>
      <c r="F31" s="183" t="e">
        <f t="shared" si="2"/>
        <v>#REF!</v>
      </c>
      <c r="G31" s="180" t="e">
        <f t="shared" si="0"/>
        <v>#REF!</v>
      </c>
      <c r="H31" s="107" t="e">
        <f>[1]совита!L30+#REF!+L31+#REF!</f>
        <v>#REF!</v>
      </c>
      <c r="I31" s="107" t="e">
        <f>[1]совита!M30+#REF!+M31+#REF!</f>
        <v>#REF!</v>
      </c>
      <c r="J31" s="106" t="e">
        <f>[1]совита!N30+#REF!+N31+#REF!</f>
        <v>#REF!</v>
      </c>
      <c r="K31" s="107" t="e">
        <f>[1]совита!O30+#REF!+#REF!</f>
        <v>#REF!</v>
      </c>
      <c r="L31" s="107" t="e">
        <f>[1]совита!P30+#REF!+#REF!</f>
        <v>#REF!</v>
      </c>
      <c r="M31" s="107" t="e">
        <f>[1]совита!Q30+#REF!+#REF!</f>
        <v>#REF!</v>
      </c>
      <c r="N31" s="106" t="e">
        <f>[1]совита!R30+#REF!+#REF!</f>
        <v>#REF!</v>
      </c>
      <c r="O31" s="65">
        <v>0</v>
      </c>
      <c r="P31" s="65">
        <v>0</v>
      </c>
      <c r="Q31" s="65">
        <v>0</v>
      </c>
      <c r="R31" s="65">
        <v>0</v>
      </c>
      <c r="S31" s="65" t="e">
        <f>#REF!+#REF!+H31</f>
        <v>#REF!</v>
      </c>
      <c r="T31" s="65" t="e">
        <f>#REF!+#REF!+I31</f>
        <v>#REF!</v>
      </c>
      <c r="U31" s="130"/>
      <c r="V31" s="129"/>
      <c r="W31" s="129">
        <v>62000</v>
      </c>
      <c r="X31" s="113" t="e">
        <f>Y31-#REF!</f>
        <v>#REF!</v>
      </c>
      <c r="Y31" s="90" t="e">
        <f>кмс!#REF!+МАКС!#REF!+сол!#REF!</f>
        <v>#REF!</v>
      </c>
      <c r="Z31" s="90" t="e">
        <f>кмс!#REF!+МАКС!#REF!+сол!#REF!</f>
        <v>#REF!</v>
      </c>
      <c r="AA31" s="90" t="e">
        <f>кмс!#REF!+МАКС!#REF!+сол!#REF!</f>
        <v>#REF!</v>
      </c>
      <c r="AB31" s="113" t="e">
        <f t="shared" si="3"/>
        <v>#REF!</v>
      </c>
    </row>
    <row r="32" spans="1:28" ht="16.5" x14ac:dyDescent="0.25">
      <c r="A32" s="67">
        <v>30</v>
      </c>
      <c r="B32" s="67" t="s">
        <v>70</v>
      </c>
      <c r="C32" s="87">
        <v>69681</v>
      </c>
      <c r="D32" s="91">
        <f>мун.зак.!I36</f>
        <v>3666.6666666666665</v>
      </c>
      <c r="E32" s="93">
        <f>мун.зак.!J36</f>
        <v>2367</v>
      </c>
      <c r="F32" s="183">
        <f t="shared" si="2"/>
        <v>3.4</v>
      </c>
      <c r="G32" s="180">
        <f t="shared" si="0"/>
        <v>64.599999999999994</v>
      </c>
      <c r="H32" s="107" t="e">
        <f>[1]совита!L33+#REF!+L32+#REF!</f>
        <v>#REF!</v>
      </c>
      <c r="I32" s="107" t="e">
        <f>[1]совита!M33+#REF!+M32+#REF!</f>
        <v>#REF!</v>
      </c>
      <c r="J32" s="106" t="e">
        <f>[1]совита!N33+#REF!+N32+#REF!</f>
        <v>#REF!</v>
      </c>
      <c r="K32" s="107" t="e">
        <f>[1]совита!O33+#REF!+#REF!</f>
        <v>#REF!</v>
      </c>
      <c r="L32" s="107" t="e">
        <f>[1]совита!P33+#REF!+#REF!</f>
        <v>#REF!</v>
      </c>
      <c r="M32" s="107" t="e">
        <f>[1]совита!Q33+#REF!+#REF!</f>
        <v>#REF!</v>
      </c>
      <c r="N32" s="106" t="e">
        <f>[1]совита!R33+#REF!+#REF!</f>
        <v>#REF!</v>
      </c>
      <c r="O32" s="65">
        <v>0</v>
      </c>
      <c r="P32" s="65">
        <v>0</v>
      </c>
      <c r="Q32" s="65">
        <v>0</v>
      </c>
      <c r="R32" s="65">
        <v>0</v>
      </c>
      <c r="S32" s="65" t="e">
        <f>#REF!+#REF!+H32</f>
        <v>#REF!</v>
      </c>
      <c r="T32" s="65" t="e">
        <f>#REF!+#REF!+I32</f>
        <v>#REF!</v>
      </c>
      <c r="U32" s="130">
        <v>3872</v>
      </c>
      <c r="V32" s="129">
        <v>1263</v>
      </c>
      <c r="W32" s="129">
        <v>22350</v>
      </c>
      <c r="X32" s="113" t="e">
        <f>Y32-#REF!</f>
        <v>#REF!</v>
      </c>
      <c r="Y32" s="90">
        <f>кмс!C30+МАКС!C30+сол!C30</f>
        <v>41250</v>
      </c>
      <c r="Z32" s="90">
        <f>кмс!F30+МАКС!F30+сол!F30</f>
        <v>11000</v>
      </c>
      <c r="AA32" s="90">
        <f>кмс!I30+МАКС!I30+сол!I30</f>
        <v>2750</v>
      </c>
      <c r="AB32" s="113">
        <f t="shared" si="3"/>
        <v>-916.66666666666652</v>
      </c>
    </row>
    <row r="33" spans="1:28" ht="16.5" x14ac:dyDescent="0.25">
      <c r="A33" s="66">
        <v>31</v>
      </c>
      <c r="B33" s="68" t="s">
        <v>71</v>
      </c>
      <c r="C33" s="87">
        <f>81200-10000</f>
        <v>71200</v>
      </c>
      <c r="D33" s="91">
        <f>мун.зак.!I37</f>
        <v>2750</v>
      </c>
      <c r="E33" s="93">
        <f>мун.зак.!J37</f>
        <v>1092</v>
      </c>
      <c r="F33" s="183">
        <f t="shared" si="2"/>
        <v>1.5</v>
      </c>
      <c r="G33" s="180">
        <f t="shared" si="0"/>
        <v>39.700000000000003</v>
      </c>
      <c r="H33" s="107" t="e">
        <f>[1]совита!L35+#REF!+L33+#REF!</f>
        <v>#REF!</v>
      </c>
      <c r="I33" s="107" t="e">
        <f>[1]совита!M35+#REF!+M33+#REF!</f>
        <v>#REF!</v>
      </c>
      <c r="J33" s="106" t="e">
        <f>[1]совита!N35+#REF!+N33+#REF!</f>
        <v>#REF!</v>
      </c>
      <c r="K33" s="107" t="e">
        <f>[1]совита!O35+#REF!+#REF!</f>
        <v>#REF!</v>
      </c>
      <c r="L33" s="107" t="e">
        <f>[1]совита!P35+#REF!+#REF!</f>
        <v>#REF!</v>
      </c>
      <c r="M33" s="107" t="e">
        <f>[1]совита!Q35+#REF!+#REF!</f>
        <v>#REF!</v>
      </c>
      <c r="N33" s="106" t="e">
        <f>[1]совита!R35+#REF!+#REF!</f>
        <v>#REF!</v>
      </c>
      <c r="O33" s="65">
        <v>0</v>
      </c>
      <c r="P33" s="65">
        <v>0</v>
      </c>
      <c r="Q33" s="65">
        <v>0</v>
      </c>
      <c r="R33" s="65">
        <v>0</v>
      </c>
      <c r="S33" s="65" t="e">
        <f>#REF!+#REF!+H33</f>
        <v>#REF!</v>
      </c>
      <c r="T33" s="65" t="e">
        <f>#REF!+#REF!+I33</f>
        <v>#REF!</v>
      </c>
      <c r="U33" s="130">
        <v>7303</v>
      </c>
      <c r="V33" s="129">
        <v>3585</v>
      </c>
      <c r="W33" s="129">
        <v>46600</v>
      </c>
      <c r="X33" s="113" t="e">
        <f>Y33-#REF!</f>
        <v>#REF!</v>
      </c>
      <c r="Y33" s="90">
        <f>кмс!C32+МАКС!C32+сол!C32</f>
        <v>3208.333333333333</v>
      </c>
      <c r="Z33" s="90">
        <f>кмс!F32+МАКС!F32+сол!F32</f>
        <v>4583.3333333333339</v>
      </c>
      <c r="AA33" s="90">
        <f>кмс!I32+МАКС!I32+сол!I32</f>
        <v>1375.0000000000002</v>
      </c>
      <c r="AB33" s="113">
        <f t="shared" si="3"/>
        <v>-1374.9999999999998</v>
      </c>
    </row>
    <row r="34" spans="1:28" ht="16.5" x14ac:dyDescent="0.25">
      <c r="A34" s="66">
        <v>33</v>
      </c>
      <c r="B34" s="67" t="s">
        <v>72</v>
      </c>
      <c r="C34" s="87">
        <v>46270</v>
      </c>
      <c r="D34" s="91">
        <f>мун.зак.!I38</f>
        <v>1833.3333333333333</v>
      </c>
      <c r="E34" s="93">
        <f>мун.зак.!J38</f>
        <v>502</v>
      </c>
      <c r="F34" s="183">
        <f t="shared" si="2"/>
        <v>1.1000000000000001</v>
      </c>
      <c r="G34" s="180">
        <f>ROUND(E34/D34*100,1)</f>
        <v>27.4</v>
      </c>
      <c r="H34" s="107" t="e">
        <f>[1]совита!L37+#REF!+L34+#REF!</f>
        <v>#REF!</v>
      </c>
      <c r="I34" s="107" t="e">
        <f>[1]совита!M37+#REF!+M34+#REF!</f>
        <v>#REF!</v>
      </c>
      <c r="J34" s="106" t="e">
        <f>[1]совита!N37+#REF!+N34+#REF!</f>
        <v>#REF!</v>
      </c>
      <c r="K34" s="107" t="e">
        <f>[1]совита!O37+#REF!+#REF!</f>
        <v>#REF!</v>
      </c>
      <c r="L34" s="107" t="e">
        <f>[1]совита!P37+#REF!+#REF!</f>
        <v>#REF!</v>
      </c>
      <c r="M34" s="107" t="e">
        <f>[1]совита!Q37+#REF!+#REF!</f>
        <v>#REF!</v>
      </c>
      <c r="N34" s="106" t="e">
        <f>[1]совита!R37+#REF!+#REF!</f>
        <v>#REF!</v>
      </c>
      <c r="O34" s="65">
        <v>0</v>
      </c>
      <c r="P34" s="65">
        <v>0</v>
      </c>
      <c r="Q34" s="65">
        <v>0</v>
      </c>
      <c r="R34" s="65">
        <v>0</v>
      </c>
      <c r="S34" s="65" t="e">
        <f>#REF!+#REF!+H34</f>
        <v>#REF!</v>
      </c>
      <c r="T34" s="65" t="e">
        <f>#REF!+#REF!+I34</f>
        <v>#REF!</v>
      </c>
      <c r="U34" s="130">
        <v>4564</v>
      </c>
      <c r="V34" s="129">
        <v>2346</v>
      </c>
      <c r="W34" s="129">
        <v>46500</v>
      </c>
      <c r="X34" s="113" t="e">
        <f>Y34-#REF!</f>
        <v>#REF!</v>
      </c>
      <c r="Y34" s="90">
        <f>кмс!C33+МАКС!C33+сол!C33</f>
        <v>17416.666666666664</v>
      </c>
      <c r="Z34" s="90">
        <f>кмс!F33+МАКС!F33+сол!F33</f>
        <v>9166.6666666666661</v>
      </c>
      <c r="AA34" s="90">
        <f>кмс!I33+МАКС!I33+сол!I33</f>
        <v>1833.3333333333335</v>
      </c>
      <c r="AB34" s="113">
        <f t="shared" ref="AB34:AB61" si="5">AA34-D34</f>
        <v>0</v>
      </c>
    </row>
    <row r="35" spans="1:28" ht="16.5" x14ac:dyDescent="0.25">
      <c r="A35" s="66">
        <v>34</v>
      </c>
      <c r="B35" s="67" t="s">
        <v>73</v>
      </c>
      <c r="C35" s="87">
        <v>41600</v>
      </c>
      <c r="D35" s="91">
        <f>мун.зак.!I39</f>
        <v>1833.3333333333333</v>
      </c>
      <c r="E35" s="93">
        <f>мун.зак.!J39</f>
        <v>706</v>
      </c>
      <c r="F35" s="183">
        <f t="shared" si="2"/>
        <v>1.7</v>
      </c>
      <c r="G35" s="180">
        <f>ROUND(E35/D35*100,1)</f>
        <v>38.5</v>
      </c>
      <c r="H35" s="107" t="e">
        <f>[1]совита!L38+#REF!+L35+#REF!</f>
        <v>#REF!</v>
      </c>
      <c r="I35" s="107" t="e">
        <f>[1]совита!M38+#REF!+M35+#REF!</f>
        <v>#REF!</v>
      </c>
      <c r="J35" s="106" t="e">
        <f>[1]совита!N38+#REF!+N35+#REF!</f>
        <v>#REF!</v>
      </c>
      <c r="K35" s="107" t="e">
        <f>[1]совита!O38+#REF!+#REF!</f>
        <v>#REF!</v>
      </c>
      <c r="L35" s="107" t="e">
        <f>[1]совита!P38+#REF!+#REF!</f>
        <v>#REF!</v>
      </c>
      <c r="M35" s="107" t="e">
        <f>[1]совита!Q38+#REF!+#REF!</f>
        <v>#REF!</v>
      </c>
      <c r="N35" s="106" t="e">
        <f>[1]совита!R38+#REF!+#REF!</f>
        <v>#REF!</v>
      </c>
      <c r="O35" s="65">
        <v>0</v>
      </c>
      <c r="P35" s="65">
        <v>0</v>
      </c>
      <c r="Q35" s="65">
        <v>0</v>
      </c>
      <c r="R35" s="65">
        <v>0</v>
      </c>
      <c r="S35" s="65" t="e">
        <f>#REF!+#REF!+H35</f>
        <v>#REF!</v>
      </c>
      <c r="T35" s="65" t="e">
        <f>#REF!+#REF!+I35</f>
        <v>#REF!</v>
      </c>
      <c r="U35" s="130">
        <v>4838</v>
      </c>
      <c r="V35" s="129">
        <v>2526</v>
      </c>
      <c r="W35" s="129">
        <v>42640</v>
      </c>
      <c r="X35" s="113" t="e">
        <f>Y35-#REF!</f>
        <v>#REF!</v>
      </c>
      <c r="Y35" s="90">
        <f>кмс!C35+МАКС!C35+сол!C35</f>
        <v>95333.333333333328</v>
      </c>
      <c r="Z35" s="90">
        <f>кмс!F35+МАКС!F35+сол!F35</f>
        <v>11916.666666666668</v>
      </c>
      <c r="AA35" s="90">
        <f>кмс!I35+МАКС!I35+сол!I35</f>
        <v>5500</v>
      </c>
      <c r="AB35" s="113">
        <f t="shared" si="5"/>
        <v>3666.666666666667</v>
      </c>
    </row>
    <row r="36" spans="1:28" ht="16.5" x14ac:dyDescent="0.25">
      <c r="A36" s="66">
        <v>35</v>
      </c>
      <c r="B36" s="67" t="s">
        <v>74</v>
      </c>
      <c r="C36" s="87">
        <v>83100</v>
      </c>
      <c r="D36" s="91">
        <f>мун.зак.!I40</f>
        <v>1833.3333333333333</v>
      </c>
      <c r="E36" s="93">
        <f>мун.зак.!J40</f>
        <v>680</v>
      </c>
      <c r="F36" s="183">
        <f t="shared" si="2"/>
        <v>0.8</v>
      </c>
      <c r="G36" s="180">
        <f>ROUND(E36/D36*100,1)</f>
        <v>37.1</v>
      </c>
      <c r="H36" s="107" t="e">
        <f>[1]совита!L39+#REF!+L36+#REF!</f>
        <v>#REF!</v>
      </c>
      <c r="I36" s="107" t="e">
        <f>[1]совита!M39+#REF!+M36+#REF!</f>
        <v>#REF!</v>
      </c>
      <c r="J36" s="106" t="e">
        <f>[1]совита!N39+#REF!+N36+#REF!</f>
        <v>#REF!</v>
      </c>
      <c r="K36" s="107" t="e">
        <f>[1]совита!O39+#REF!+#REF!</f>
        <v>#REF!</v>
      </c>
      <c r="L36" s="107" t="e">
        <f>[1]совита!P39+#REF!+#REF!</f>
        <v>#REF!</v>
      </c>
      <c r="M36" s="107" t="e">
        <f>[1]совита!Q39+#REF!+#REF!</f>
        <v>#REF!</v>
      </c>
      <c r="N36" s="106" t="e">
        <f>[1]совита!R39+#REF!+#REF!</f>
        <v>#REF!</v>
      </c>
      <c r="O36" s="65">
        <v>0</v>
      </c>
      <c r="P36" s="65">
        <v>0</v>
      </c>
      <c r="Q36" s="65">
        <v>0</v>
      </c>
      <c r="R36" s="65">
        <v>0</v>
      </c>
      <c r="S36" s="65" t="e">
        <f>#REF!+#REF!+H36</f>
        <v>#REF!</v>
      </c>
      <c r="T36" s="65" t="e">
        <f>#REF!+#REF!+I36</f>
        <v>#REF!</v>
      </c>
      <c r="U36" s="130">
        <v>13635</v>
      </c>
      <c r="V36" s="129">
        <v>5053</v>
      </c>
      <c r="W36" s="129">
        <v>70300</v>
      </c>
      <c r="X36" s="113" t="e">
        <f>Y36-#REF!</f>
        <v>#REF!</v>
      </c>
      <c r="Y36" s="90" t="e">
        <f>кмс!#REF!+МАКС!#REF!+сол!#REF!</f>
        <v>#REF!</v>
      </c>
      <c r="Z36" s="90" t="e">
        <f>кмс!#REF!+МАКС!#REF!+сол!#REF!</f>
        <v>#REF!</v>
      </c>
      <c r="AA36" s="90" t="e">
        <f>кмс!#REF!+МАКС!#REF!+сол!#REF!</f>
        <v>#REF!</v>
      </c>
      <c r="AB36" s="113" t="e">
        <f t="shared" si="5"/>
        <v>#REF!</v>
      </c>
    </row>
    <row r="37" spans="1:28" ht="16.5" x14ac:dyDescent="0.25">
      <c r="A37" s="66">
        <v>36</v>
      </c>
      <c r="B37" s="67" t="s">
        <v>75</v>
      </c>
      <c r="C37" s="87">
        <v>44000</v>
      </c>
      <c r="D37" s="91">
        <f>мун.зак.!I41</f>
        <v>2750</v>
      </c>
      <c r="E37" s="93">
        <f>мун.зак.!J41</f>
        <v>1300</v>
      </c>
      <c r="F37" s="183">
        <f t="shared" si="2"/>
        <v>3</v>
      </c>
      <c r="G37" s="180">
        <f>ROUND(E37/D37*100,1)</f>
        <v>47.3</v>
      </c>
      <c r="H37" s="107" t="e">
        <f>[1]совита!L40+#REF!+L37+#REF!</f>
        <v>#REF!</v>
      </c>
      <c r="I37" s="107" t="e">
        <f>[1]совита!M40+#REF!+M37+#REF!</f>
        <v>#REF!</v>
      </c>
      <c r="J37" s="106" t="e">
        <f>[1]совита!N40+#REF!+N37+#REF!</f>
        <v>#REF!</v>
      </c>
      <c r="K37" s="107" t="e">
        <f>[1]совита!O40+#REF!+#REF!</f>
        <v>#REF!</v>
      </c>
      <c r="L37" s="107" t="e">
        <f>[1]совита!P40+#REF!+#REF!</f>
        <v>#REF!</v>
      </c>
      <c r="M37" s="107" t="e">
        <f>[1]совита!Q40+#REF!+#REF!</f>
        <v>#REF!</v>
      </c>
      <c r="N37" s="106" t="e">
        <f>[1]совита!R40+#REF!+#REF!</f>
        <v>#REF!</v>
      </c>
      <c r="O37" s="65">
        <v>0</v>
      </c>
      <c r="P37" s="65">
        <v>0</v>
      </c>
      <c r="Q37" s="65">
        <v>0</v>
      </c>
      <c r="R37" s="65">
        <v>0</v>
      </c>
      <c r="S37" s="65" t="e">
        <f>#REF!+#REF!+H37</f>
        <v>#REF!</v>
      </c>
      <c r="T37" s="65" t="e">
        <f>#REF!+#REF!+I37</f>
        <v>#REF!</v>
      </c>
      <c r="U37" s="130">
        <v>4288</v>
      </c>
      <c r="V37" s="129">
        <v>2610</v>
      </c>
      <c r="W37" s="129">
        <v>40000</v>
      </c>
      <c r="X37" s="113" t="e">
        <f>Y37-#REF!</f>
        <v>#REF!</v>
      </c>
      <c r="Y37" s="90">
        <f>кмс!C36+МАКС!C36+сол!C36</f>
        <v>4125</v>
      </c>
      <c r="Z37" s="90">
        <f>кмс!F36+МАКС!F36+сол!F36</f>
        <v>11000</v>
      </c>
      <c r="AA37" s="90">
        <f>кмс!I36+МАКС!I36+сол!I36</f>
        <v>3666.6666666666661</v>
      </c>
      <c r="AB37" s="113">
        <f t="shared" si="5"/>
        <v>916.66666666666606</v>
      </c>
    </row>
    <row r="38" spans="1:28" ht="16.5" hidden="1" x14ac:dyDescent="0.25">
      <c r="A38" s="427" t="s">
        <v>76</v>
      </c>
      <c r="B38" s="428"/>
      <c r="C38" s="212"/>
      <c r="D38" s="91" t="e">
        <f>мун.зак.!#REF!</f>
        <v>#REF!</v>
      </c>
      <c r="E38" s="93" t="e">
        <f>мун.зак.!#REF!</f>
        <v>#REF!</v>
      </c>
      <c r="F38" s="183" t="e">
        <f t="shared" si="2"/>
        <v>#REF!</v>
      </c>
      <c r="G38" s="8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3" t="e">
        <f>Y38-#REF!</f>
        <v>#REF!</v>
      </c>
      <c r="Y38" s="90"/>
      <c r="Z38" s="90"/>
      <c r="AA38" s="90"/>
      <c r="AB38" s="113" t="e">
        <f t="shared" si="5"/>
        <v>#REF!</v>
      </c>
    </row>
    <row r="39" spans="1:28" ht="15.75" hidden="1" x14ac:dyDescent="0.25">
      <c r="A39" s="66"/>
      <c r="B39" s="69" t="s">
        <v>77</v>
      </c>
      <c r="C39" s="72"/>
      <c r="D39" s="91" t="e">
        <f>мун.зак.!#REF!</f>
        <v>#REF!</v>
      </c>
      <c r="E39" s="93" t="e">
        <f>мун.зак.!#REF!</f>
        <v>#REF!</v>
      </c>
      <c r="F39" s="183" t="e">
        <f t="shared" si="2"/>
        <v>#REF!</v>
      </c>
      <c r="G39" s="180"/>
      <c r="H39" s="70"/>
      <c r="I39" s="70"/>
      <c r="J39" s="71"/>
      <c r="K39" s="70"/>
      <c r="L39" s="70"/>
      <c r="M39" s="70"/>
      <c r="N39" s="71"/>
      <c r="O39" s="70"/>
      <c r="P39" s="70"/>
      <c r="Q39" s="70"/>
      <c r="R39" s="70"/>
      <c r="S39" s="70"/>
      <c r="T39" s="70"/>
      <c r="U39" s="71"/>
      <c r="V39" s="71"/>
      <c r="W39" s="71"/>
      <c r="X39" s="113" t="e">
        <f>Y39-#REF!</f>
        <v>#REF!</v>
      </c>
      <c r="Y39" s="90"/>
      <c r="Z39" s="90"/>
      <c r="AA39" s="90"/>
      <c r="AB39" s="113" t="e">
        <f t="shared" si="5"/>
        <v>#REF!</v>
      </c>
    </row>
    <row r="40" spans="1:28" ht="15.75" hidden="1" x14ac:dyDescent="0.25">
      <c r="A40" s="66"/>
      <c r="B40" s="73" t="s">
        <v>78</v>
      </c>
      <c r="C40" s="76"/>
      <c r="D40" s="91" t="e">
        <f>мун.зак.!#REF!</f>
        <v>#REF!</v>
      </c>
      <c r="E40" s="93" t="e">
        <f>мун.зак.!#REF!</f>
        <v>#REF!</v>
      </c>
      <c r="F40" s="183" t="e">
        <f t="shared" si="2"/>
        <v>#REF!</v>
      </c>
      <c r="G40" s="181"/>
      <c r="H40" s="74"/>
      <c r="I40" s="74"/>
      <c r="J40" s="75"/>
      <c r="K40" s="74"/>
      <c r="L40" s="74"/>
      <c r="M40" s="74"/>
      <c r="N40" s="75"/>
      <c r="O40" s="74"/>
      <c r="P40" s="74"/>
      <c r="Q40" s="74"/>
      <c r="R40" s="74"/>
      <c r="S40" s="74"/>
      <c r="T40" s="74"/>
      <c r="U40" s="75"/>
      <c r="V40" s="75"/>
      <c r="W40" s="75"/>
      <c r="X40" s="113" t="e">
        <f>Y40-#REF!</f>
        <v>#REF!</v>
      </c>
      <c r="Y40" s="90"/>
      <c r="Z40" s="90"/>
      <c r="AA40" s="90"/>
      <c r="AB40" s="113" t="e">
        <f t="shared" si="5"/>
        <v>#REF!</v>
      </c>
    </row>
    <row r="41" spans="1:28" ht="16.5" x14ac:dyDescent="0.25">
      <c r="A41" s="66">
        <v>37</v>
      </c>
      <c r="B41" s="67" t="s">
        <v>79</v>
      </c>
      <c r="C41" s="87">
        <v>93500</v>
      </c>
      <c r="D41" s="91">
        <f>мун.зак.!I43</f>
        <v>0</v>
      </c>
      <c r="E41" s="93">
        <f>мун.зак.!J43</f>
        <v>0</v>
      </c>
      <c r="F41" s="183">
        <f t="shared" si="2"/>
        <v>0</v>
      </c>
      <c r="G41" s="180" t="e">
        <f t="shared" ref="G41:G57" si="6">ROUND(E41/D41*100,1)</f>
        <v>#DIV/0!</v>
      </c>
      <c r="H41" s="107" t="e">
        <f>[1]совита!L44+#REF!+L41+#REF!</f>
        <v>#REF!</v>
      </c>
      <c r="I41" s="107" t="e">
        <f>[1]совита!M44+#REF!+M41+#REF!</f>
        <v>#REF!</v>
      </c>
      <c r="J41" s="106" t="e">
        <f>[1]совита!N44+#REF!+N41+#REF!</f>
        <v>#REF!</v>
      </c>
      <c r="K41" s="107" t="e">
        <f>[1]совита!O44+#REF!+#REF!</f>
        <v>#REF!</v>
      </c>
      <c r="L41" s="107" t="e">
        <f>[1]совита!P44+#REF!+#REF!</f>
        <v>#REF!</v>
      </c>
      <c r="M41" s="107" t="e">
        <f>[1]совита!Q44+#REF!+#REF!</f>
        <v>#REF!</v>
      </c>
      <c r="N41" s="106" t="e">
        <f>[1]совита!R44+#REF!+#REF!</f>
        <v>#REF!</v>
      </c>
      <c r="O41" s="65">
        <v>0</v>
      </c>
      <c r="P41" s="65">
        <v>0</v>
      </c>
      <c r="Q41" s="65">
        <v>0</v>
      </c>
      <c r="R41" s="65">
        <v>0</v>
      </c>
      <c r="S41" s="65" t="e">
        <f>#REF!+#REF!+H51</f>
        <v>#REF!</v>
      </c>
      <c r="T41" s="65" t="e">
        <f>#REF!+#REF!+I51</f>
        <v>#REF!</v>
      </c>
      <c r="U41" s="130">
        <v>50056</v>
      </c>
      <c r="V41" s="129">
        <v>7535</v>
      </c>
      <c r="W41" s="129">
        <v>95900</v>
      </c>
      <c r="X41" s="113" t="e">
        <f>Y41-#REF!</f>
        <v>#REF!</v>
      </c>
      <c r="Y41" s="90">
        <f>кмс!C40+МАКС!C40+сол!C40</f>
        <v>13291.666666666666</v>
      </c>
      <c r="Z41" s="90">
        <f>кмс!F40+МАКС!F40+сол!F40</f>
        <v>9166.6666666666661</v>
      </c>
      <c r="AA41" s="90">
        <f>кмс!I40+МАКС!I40+сол!I40</f>
        <v>1833.3333333333333</v>
      </c>
      <c r="AB41" s="113">
        <f t="shared" si="5"/>
        <v>1833.3333333333333</v>
      </c>
    </row>
    <row r="42" spans="1:28" ht="16.5" x14ac:dyDescent="0.25">
      <c r="A42" s="66">
        <v>38</v>
      </c>
      <c r="B42" s="67" t="s">
        <v>80</v>
      </c>
      <c r="C42" s="87">
        <v>779200</v>
      </c>
      <c r="D42" s="91">
        <f>мун.зак.!I44</f>
        <v>36543.833333333328</v>
      </c>
      <c r="E42" s="93">
        <f>мун.зак.!J44</f>
        <v>34207</v>
      </c>
      <c r="F42" s="183">
        <f t="shared" si="2"/>
        <v>4.4000000000000004</v>
      </c>
      <c r="G42" s="180">
        <f t="shared" si="6"/>
        <v>93.6</v>
      </c>
      <c r="H42" s="107" t="e">
        <f>[1]совита!L45+#REF!+L42+#REF!</f>
        <v>#REF!</v>
      </c>
      <c r="I42" s="107" t="e">
        <f>[1]совита!M45+#REF!+M42+#REF!</f>
        <v>#REF!</v>
      </c>
      <c r="J42" s="106" t="e">
        <f>[1]совита!N45+#REF!+N42+#REF!</f>
        <v>#REF!</v>
      </c>
      <c r="K42" s="107" t="e">
        <f>[1]совита!O45+#REF!+#REF!</f>
        <v>#REF!</v>
      </c>
      <c r="L42" s="107" t="e">
        <f>[1]совита!P45+#REF!+#REF!</f>
        <v>#REF!</v>
      </c>
      <c r="M42" s="107" t="e">
        <f>[1]совита!Q45+#REF!+#REF!</f>
        <v>#REF!</v>
      </c>
      <c r="N42" s="106" t="e">
        <f>[1]совита!R45+#REF!+#REF!</f>
        <v>#REF!</v>
      </c>
      <c r="O42" s="65">
        <v>0</v>
      </c>
      <c r="P42" s="65">
        <v>0</v>
      </c>
      <c r="Q42" s="65">
        <v>0</v>
      </c>
      <c r="R42" s="65">
        <v>0</v>
      </c>
      <c r="S42" s="65" t="e">
        <f>#REF!+#REF!+H42</f>
        <v>#REF!</v>
      </c>
      <c r="T42" s="65" t="e">
        <f>#REF!+#REF!+I42</f>
        <v>#REF!</v>
      </c>
      <c r="U42" s="130">
        <v>112128</v>
      </c>
      <c r="V42" s="129">
        <v>59368</v>
      </c>
      <c r="W42" s="129">
        <v>788000</v>
      </c>
      <c r="X42" s="113" t="e">
        <f>Y42-#REF!</f>
        <v>#REF!</v>
      </c>
      <c r="Y42" s="90">
        <f>кмс!C41+МАКС!C41+сол!C41</f>
        <v>3208.333333333333</v>
      </c>
      <c r="Z42" s="90">
        <f>кмс!F41+МАКС!F41+сол!F41</f>
        <v>7333.3333333333339</v>
      </c>
      <c r="AA42" s="90">
        <f>кмс!I41+МАКС!I41+сол!I41</f>
        <v>2750</v>
      </c>
      <c r="AB42" s="113">
        <f t="shared" si="5"/>
        <v>-33793.833333333328</v>
      </c>
    </row>
    <row r="43" spans="1:28" ht="16.5" x14ac:dyDescent="0.25">
      <c r="A43" s="66">
        <v>39</v>
      </c>
      <c r="B43" s="67" t="s">
        <v>81</v>
      </c>
      <c r="C43" s="87">
        <v>584400</v>
      </c>
      <c r="D43" s="91">
        <f>мун.зак.!I45</f>
        <v>9166.6666666666679</v>
      </c>
      <c r="E43" s="93">
        <f>мун.зак.!J45</f>
        <v>7639</v>
      </c>
      <c r="F43" s="183">
        <f t="shared" si="2"/>
        <v>1.3</v>
      </c>
      <c r="G43" s="180">
        <f t="shared" si="6"/>
        <v>83.3</v>
      </c>
      <c r="H43" s="107" t="e">
        <f>[1]совита!L46+#REF!+L43+#REF!</f>
        <v>#REF!</v>
      </c>
      <c r="I43" s="107" t="e">
        <f>[1]совита!M46+#REF!+M43+#REF!</f>
        <v>#REF!</v>
      </c>
      <c r="J43" s="106" t="e">
        <f>[1]совита!N46+#REF!+N43+#REF!</f>
        <v>#REF!</v>
      </c>
      <c r="K43" s="107" t="e">
        <f>[1]совита!O46+#REF!+#REF!</f>
        <v>#REF!</v>
      </c>
      <c r="L43" s="107" t="e">
        <f>[1]совита!P46+#REF!+#REF!</f>
        <v>#REF!</v>
      </c>
      <c r="M43" s="107" t="e">
        <f>[1]совита!Q46+#REF!+#REF!</f>
        <v>#REF!</v>
      </c>
      <c r="N43" s="106" t="e">
        <f>[1]совита!R46+#REF!+#REF!</f>
        <v>#REF!</v>
      </c>
      <c r="O43" s="65">
        <v>0</v>
      </c>
      <c r="P43" s="65">
        <v>0</v>
      </c>
      <c r="Q43" s="65">
        <v>0</v>
      </c>
      <c r="R43" s="65">
        <v>0</v>
      </c>
      <c r="S43" s="65" t="e">
        <f>#REF!+#REF!+H43</f>
        <v>#REF!</v>
      </c>
      <c r="T43" s="65" t="e">
        <f>#REF!+#REF!+I43</f>
        <v>#REF!</v>
      </c>
      <c r="U43" s="130">
        <v>214530</v>
      </c>
      <c r="V43" s="129">
        <v>35368</v>
      </c>
      <c r="W43" s="129">
        <v>586900</v>
      </c>
      <c r="X43" s="113" t="e">
        <f>Y43-#REF!</f>
        <v>#REF!</v>
      </c>
      <c r="Y43" s="90" t="e">
        <f>кмс!#REF!+МАКС!C43+сол!C43</f>
        <v>#REF!</v>
      </c>
      <c r="Z43" s="90" t="e">
        <f>кмс!#REF!+МАКС!F43+сол!F43</f>
        <v>#REF!</v>
      </c>
      <c r="AA43" s="90" t="e">
        <f>кмс!#REF!+МАКС!I43+сол!I43</f>
        <v>#REF!</v>
      </c>
      <c r="AB43" s="113" t="e">
        <f t="shared" si="5"/>
        <v>#REF!</v>
      </c>
    </row>
    <row r="44" spans="1:28" ht="16.5" x14ac:dyDescent="0.25">
      <c r="A44" s="66">
        <v>40</v>
      </c>
      <c r="B44" s="67" t="s">
        <v>82</v>
      </c>
      <c r="C44" s="87">
        <v>141700</v>
      </c>
      <c r="D44" s="91" t="e">
        <f>мун.зак.!#REF!</f>
        <v>#REF!</v>
      </c>
      <c r="E44" s="93" t="e">
        <f>мун.зак.!#REF!</f>
        <v>#REF!</v>
      </c>
      <c r="F44" s="183" t="e">
        <f t="shared" si="2"/>
        <v>#REF!</v>
      </c>
      <c r="G44" s="180" t="e">
        <f t="shared" si="6"/>
        <v>#REF!</v>
      </c>
      <c r="H44" s="107" t="e">
        <f>[1]совита!L47+#REF!+L44+#REF!</f>
        <v>#REF!</v>
      </c>
      <c r="I44" s="107" t="e">
        <f>[1]совита!M47+#REF!+M44+#REF!</f>
        <v>#REF!</v>
      </c>
      <c r="J44" s="106" t="e">
        <f>[1]совита!N47+#REF!+N44+#REF!</f>
        <v>#REF!</v>
      </c>
      <c r="K44" s="107" t="e">
        <f>[1]совита!O47+#REF!+#REF!</f>
        <v>#REF!</v>
      </c>
      <c r="L44" s="107" t="e">
        <f>[1]совита!P47+#REF!+#REF!</f>
        <v>#REF!</v>
      </c>
      <c r="M44" s="107" t="e">
        <f>[1]совита!Q47+#REF!+#REF!</f>
        <v>#REF!</v>
      </c>
      <c r="N44" s="106" t="e">
        <f>[1]совита!R47+#REF!+#REF!</f>
        <v>#REF!</v>
      </c>
      <c r="O44" s="65">
        <v>0</v>
      </c>
      <c r="P44" s="65">
        <v>0</v>
      </c>
      <c r="Q44" s="65">
        <v>0</v>
      </c>
      <c r="R44" s="65">
        <v>0</v>
      </c>
      <c r="S44" s="65" t="e">
        <f>#REF!+#REF!+H44</f>
        <v>#REF!</v>
      </c>
      <c r="T44" s="65" t="e">
        <f>#REF!+#REF!+I44</f>
        <v>#REF!</v>
      </c>
      <c r="U44" s="130">
        <v>73286</v>
      </c>
      <c r="V44" s="129"/>
      <c r="W44" s="129">
        <v>142000</v>
      </c>
      <c r="X44" s="113" t="e">
        <f>Y44-#REF!</f>
        <v>#REF!</v>
      </c>
      <c r="Y44" s="90" t="e">
        <f>кмс!#REF!+МАКС!C44+сол!C44</f>
        <v>#REF!</v>
      </c>
      <c r="Z44" s="90" t="e">
        <f>кмс!#REF!+МАКС!F44+сол!F44</f>
        <v>#REF!</v>
      </c>
      <c r="AA44" s="90" t="e">
        <f>кмс!#REF!+МАКС!I44+сол!I44</f>
        <v>#REF!</v>
      </c>
      <c r="AB44" s="113" t="e">
        <f t="shared" si="5"/>
        <v>#REF!</v>
      </c>
    </row>
    <row r="45" spans="1:28" ht="16.5" x14ac:dyDescent="0.25">
      <c r="A45" s="66">
        <v>41</v>
      </c>
      <c r="B45" s="67" t="s">
        <v>83</v>
      </c>
      <c r="C45" s="87">
        <v>224100</v>
      </c>
      <c r="D45" s="91">
        <f>мун.зак.!I46</f>
        <v>10083.333333333332</v>
      </c>
      <c r="E45" s="93">
        <f>мун.зак.!J46</f>
        <v>8332</v>
      </c>
      <c r="F45" s="183">
        <f t="shared" si="2"/>
        <v>3.7</v>
      </c>
      <c r="G45" s="180">
        <f t="shared" si="6"/>
        <v>82.6</v>
      </c>
      <c r="H45" s="107" t="e">
        <f>[1]совита!L48+#REF!+L45+#REF!</f>
        <v>#REF!</v>
      </c>
      <c r="I45" s="107" t="e">
        <f>[1]совита!M48+#REF!+M45+#REF!</f>
        <v>#REF!</v>
      </c>
      <c r="J45" s="106" t="e">
        <f>[1]совита!N48+#REF!+N45+#REF!</f>
        <v>#REF!</v>
      </c>
      <c r="K45" s="107" t="e">
        <f>[1]совита!O48+#REF!+#REF!</f>
        <v>#REF!</v>
      </c>
      <c r="L45" s="107" t="e">
        <f>[1]совита!P48+#REF!+#REF!</f>
        <v>#REF!</v>
      </c>
      <c r="M45" s="107" t="e">
        <f>[1]совита!Q48+#REF!+#REF!</f>
        <v>#REF!</v>
      </c>
      <c r="N45" s="106" t="e">
        <f>[1]совита!R48+#REF!+#REF!</f>
        <v>#REF!</v>
      </c>
      <c r="O45" s="65">
        <v>0</v>
      </c>
      <c r="P45" s="65">
        <v>0</v>
      </c>
      <c r="Q45" s="65">
        <v>0</v>
      </c>
      <c r="R45" s="65">
        <v>0</v>
      </c>
      <c r="S45" s="65" t="e">
        <f>#REF!+#REF!+H45</f>
        <v>#REF!</v>
      </c>
      <c r="T45" s="65" t="e">
        <f>#REF!+#REF!+I45</f>
        <v>#REF!</v>
      </c>
      <c r="U45" s="130"/>
      <c r="V45" s="129">
        <v>15535</v>
      </c>
      <c r="W45" s="129">
        <v>216175</v>
      </c>
      <c r="X45" s="113" t="e">
        <f>Y45-#REF!</f>
        <v>#REF!</v>
      </c>
      <c r="Y45" s="90" t="e">
        <f>кмс!#REF!+МАКС!C45+сол!C45</f>
        <v>#REF!</v>
      </c>
      <c r="Z45" s="90" t="e">
        <f>кмс!#REF!+МАКС!F45+сол!F45</f>
        <v>#REF!</v>
      </c>
      <c r="AA45" s="90" t="e">
        <f>кмс!#REF!+МАКС!I45+сол!I45</f>
        <v>#REF!</v>
      </c>
      <c r="AB45" s="113" t="e">
        <f t="shared" si="5"/>
        <v>#REF!</v>
      </c>
    </row>
    <row r="46" spans="1:28" ht="16.5" x14ac:dyDescent="0.25">
      <c r="A46" s="66">
        <v>42</v>
      </c>
      <c r="B46" s="141" t="s">
        <v>84</v>
      </c>
      <c r="C46" s="87">
        <v>170400</v>
      </c>
      <c r="D46" s="91">
        <f>мун.зак.!I47</f>
        <v>0</v>
      </c>
      <c r="E46" s="93">
        <f>мун.зак.!J47</f>
        <v>0</v>
      </c>
      <c r="F46" s="183">
        <f t="shared" si="2"/>
        <v>0</v>
      </c>
      <c r="G46" s="180" t="e">
        <f t="shared" si="6"/>
        <v>#DIV/0!</v>
      </c>
      <c r="H46" s="107" t="e">
        <f>[1]совита!L49+#REF!+L46+#REF!</f>
        <v>#REF!</v>
      </c>
      <c r="I46" s="107" t="e">
        <f>[1]совита!M49+#REF!+M46+#REF!</f>
        <v>#REF!</v>
      </c>
      <c r="J46" s="106" t="e">
        <f>[1]совита!N49+#REF!+N46+#REF!</f>
        <v>#REF!</v>
      </c>
      <c r="K46" s="107" t="e">
        <f>[1]совита!O49+#REF!+#REF!</f>
        <v>#REF!</v>
      </c>
      <c r="L46" s="107" t="e">
        <f>[1]совита!P49+#REF!+#REF!</f>
        <v>#REF!</v>
      </c>
      <c r="M46" s="107" t="e">
        <f>[1]совита!Q49+#REF!+#REF!</f>
        <v>#REF!</v>
      </c>
      <c r="N46" s="106" t="e">
        <f>[1]совита!R49+#REF!+#REF!</f>
        <v>#REF!</v>
      </c>
      <c r="O46" s="65">
        <v>0</v>
      </c>
      <c r="P46" s="65">
        <v>0</v>
      </c>
      <c r="Q46" s="65">
        <v>0</v>
      </c>
      <c r="R46" s="65">
        <v>0</v>
      </c>
      <c r="S46" s="65" t="e">
        <f>#REF!+#REF!+H46</f>
        <v>#REF!</v>
      </c>
      <c r="T46" s="65" t="e">
        <f>#REF!+#REF!+I46</f>
        <v>#REF!</v>
      </c>
      <c r="U46" s="130"/>
      <c r="V46" s="129"/>
      <c r="W46" s="129">
        <v>165000</v>
      </c>
      <c r="X46" s="113" t="e">
        <f>Y46-#REF!</f>
        <v>#REF!</v>
      </c>
      <c r="Y46" s="90">
        <f>кмс!C44+МАКС!C46+сол!C46</f>
        <v>26209.333333333332</v>
      </c>
      <c r="Z46" s="90">
        <f>кмс!F44+МАКС!F46+сол!F46</f>
        <v>32885.416666666664</v>
      </c>
      <c r="AA46" s="90">
        <f>кмс!I44+МАКС!I46+сол!I46</f>
        <v>17907.083333333332</v>
      </c>
      <c r="AB46" s="113">
        <f t="shared" si="5"/>
        <v>17907.083333333332</v>
      </c>
    </row>
    <row r="47" spans="1:28" ht="16.5" x14ac:dyDescent="0.25">
      <c r="A47" s="66">
        <v>43</v>
      </c>
      <c r="B47" s="141" t="s">
        <v>85</v>
      </c>
      <c r="C47" s="87">
        <v>90700</v>
      </c>
      <c r="D47" s="91" t="e">
        <f>мун.зак.!#REF!</f>
        <v>#REF!</v>
      </c>
      <c r="E47" s="93" t="e">
        <f>мун.зак.!#REF!</f>
        <v>#REF!</v>
      </c>
      <c r="F47" s="183" t="e">
        <f t="shared" si="2"/>
        <v>#REF!</v>
      </c>
      <c r="G47" s="180" t="e">
        <f t="shared" si="6"/>
        <v>#REF!</v>
      </c>
      <c r="H47" s="107" t="e">
        <f>[1]совита!L50+#REF!+L47+#REF!</f>
        <v>#REF!</v>
      </c>
      <c r="I47" s="107" t="e">
        <f>[1]совита!M50+#REF!+M47+#REF!</f>
        <v>#REF!</v>
      </c>
      <c r="J47" s="106" t="e">
        <f>[1]совита!N50+#REF!+N47+#REF!</f>
        <v>#REF!</v>
      </c>
      <c r="K47" s="107" t="e">
        <f>[1]совита!O50+#REF!+#REF!</f>
        <v>#REF!</v>
      </c>
      <c r="L47" s="107" t="e">
        <f>[1]совита!P50+#REF!+#REF!</f>
        <v>#REF!</v>
      </c>
      <c r="M47" s="107" t="e">
        <f>[1]совита!Q50+#REF!+#REF!</f>
        <v>#REF!</v>
      </c>
      <c r="N47" s="106" t="e">
        <f>[1]совита!R50+#REF!+#REF!</f>
        <v>#REF!</v>
      </c>
      <c r="O47" s="65">
        <v>0</v>
      </c>
      <c r="P47" s="65">
        <v>0</v>
      </c>
      <c r="Q47" s="65">
        <v>0</v>
      </c>
      <c r="R47" s="65">
        <v>0</v>
      </c>
      <c r="S47" s="65" t="e">
        <f>#REF!+#REF!+#REF!</f>
        <v>#REF!</v>
      </c>
      <c r="T47" s="65" t="e">
        <f>#REF!+#REF!+#REF!</f>
        <v>#REF!</v>
      </c>
      <c r="U47" s="130"/>
      <c r="V47" s="129"/>
      <c r="W47" s="129">
        <v>90000</v>
      </c>
      <c r="X47" s="113" t="e">
        <f>Y47-#REF!</f>
        <v>#REF!</v>
      </c>
      <c r="Y47" s="90">
        <f>кмс!C45+МАКС!C47+сол!C47</f>
        <v>58222.083333333336</v>
      </c>
      <c r="Z47" s="90">
        <f>кмс!F45+МАКС!F47+сол!F47</f>
        <v>12401.583333333334</v>
      </c>
      <c r="AA47" s="90">
        <f>кмс!I45+МАКС!I47+сол!I47</f>
        <v>2748.166666666667</v>
      </c>
      <c r="AB47" s="113" t="e">
        <f t="shared" si="5"/>
        <v>#REF!</v>
      </c>
    </row>
    <row r="48" spans="1:28" ht="16.5" x14ac:dyDescent="0.25">
      <c r="A48" s="66">
        <v>44</v>
      </c>
      <c r="B48" s="77" t="s">
        <v>87</v>
      </c>
      <c r="C48" s="87">
        <v>172500</v>
      </c>
      <c r="D48" s="91" t="e">
        <f>мун.зак.!#REF!</f>
        <v>#REF!</v>
      </c>
      <c r="E48" s="93" t="e">
        <f>мун.зак.!#REF!</f>
        <v>#REF!</v>
      </c>
      <c r="F48" s="183" t="e">
        <f t="shared" si="2"/>
        <v>#REF!</v>
      </c>
      <c r="G48" s="180" t="e">
        <f t="shared" si="6"/>
        <v>#REF!</v>
      </c>
      <c r="H48" s="107" t="e">
        <f>[1]совита!L61+#REF!+L48+#REF!</f>
        <v>#REF!</v>
      </c>
      <c r="I48" s="107" t="e">
        <f>[1]совита!M61+#REF!+M48+#REF!</f>
        <v>#REF!</v>
      </c>
      <c r="J48" s="106" t="e">
        <f>[1]совита!N61+#REF!+N48+#REF!</f>
        <v>#REF!</v>
      </c>
      <c r="K48" s="107" t="e">
        <f>[1]совита!O61+#REF!+#REF!</f>
        <v>#REF!</v>
      </c>
      <c r="L48" s="107" t="e">
        <f>[1]совита!P61+#REF!+#REF!</f>
        <v>#REF!</v>
      </c>
      <c r="M48" s="107" t="e">
        <f>[1]совита!Q61+#REF!+#REF!</f>
        <v>#REF!</v>
      </c>
      <c r="N48" s="106" t="e">
        <f>[1]совита!R61+#REF!+#REF!</f>
        <v>#REF!</v>
      </c>
      <c r="O48" s="65"/>
      <c r="P48" s="65"/>
      <c r="Q48" s="65"/>
      <c r="R48" s="65"/>
      <c r="S48" s="65" t="e">
        <f>#REF!+#REF!+H48</f>
        <v>#REF!</v>
      </c>
      <c r="T48" s="65" t="e">
        <f>#REF!+#REF!+I48</f>
        <v>#REF!</v>
      </c>
      <c r="U48" s="130">
        <v>23876</v>
      </c>
      <c r="V48" s="129">
        <v>8017</v>
      </c>
      <c r="W48" s="129">
        <v>166100</v>
      </c>
      <c r="X48" s="113" t="e">
        <f>Y48-#REF!</f>
        <v>#REF!</v>
      </c>
      <c r="Y48" s="90" t="e">
        <f>кмс!C55+МАКС!#REF!+сол!#REF!</f>
        <v>#REF!</v>
      </c>
      <c r="Z48" s="90" t="e">
        <f>кмс!F55+МАКС!#REF!+сол!#REF!</f>
        <v>#REF!</v>
      </c>
      <c r="AA48" s="90" t="e">
        <f>кмс!I55+МАКС!#REF!+сол!#REF!</f>
        <v>#REF!</v>
      </c>
      <c r="AB48" s="113" t="e">
        <f t="shared" si="5"/>
        <v>#REF!</v>
      </c>
    </row>
    <row r="49" spans="1:28" ht="16.5" x14ac:dyDescent="0.25">
      <c r="A49" s="67">
        <v>45</v>
      </c>
      <c r="B49" s="77" t="s">
        <v>88</v>
      </c>
      <c r="C49" s="87">
        <v>301950</v>
      </c>
      <c r="D49" s="91" t="e">
        <f>мун.зак.!#REF!</f>
        <v>#REF!</v>
      </c>
      <c r="E49" s="93" t="e">
        <f>мун.зак.!#REF!</f>
        <v>#REF!</v>
      </c>
      <c r="F49" s="183" t="e">
        <f t="shared" si="2"/>
        <v>#REF!</v>
      </c>
      <c r="G49" s="180" t="e">
        <f t="shared" si="6"/>
        <v>#REF!</v>
      </c>
      <c r="H49" s="107" t="e">
        <f>[1]совита!L62+#REF!+L49+#REF!</f>
        <v>#REF!</v>
      </c>
      <c r="I49" s="107" t="e">
        <f>[1]совита!M62+#REF!+M49+#REF!</f>
        <v>#REF!</v>
      </c>
      <c r="J49" s="106" t="e">
        <f>[1]совита!N62+#REF!+N49+#REF!</f>
        <v>#REF!</v>
      </c>
      <c r="K49" s="107" t="e">
        <f>[1]совита!O62+#REF!+#REF!</f>
        <v>#REF!</v>
      </c>
      <c r="L49" s="107" t="e">
        <f>[1]совита!P62+#REF!+#REF!</f>
        <v>#REF!</v>
      </c>
      <c r="M49" s="107" t="e">
        <f>[1]совита!Q62+#REF!+#REF!</f>
        <v>#REF!</v>
      </c>
      <c r="N49" s="106" t="e">
        <f>[1]совита!R62+#REF!+#REF!</f>
        <v>#REF!</v>
      </c>
      <c r="O49" s="65"/>
      <c r="P49" s="65"/>
      <c r="Q49" s="65"/>
      <c r="R49" s="65"/>
      <c r="S49" s="65" t="e">
        <f>#REF!+#REF!+H49</f>
        <v>#REF!</v>
      </c>
      <c r="T49" s="65" t="e">
        <f>#REF!+#REF!+I49</f>
        <v>#REF!</v>
      </c>
      <c r="U49" s="130">
        <v>54682</v>
      </c>
      <c r="V49" s="129">
        <v>15385</v>
      </c>
      <c r="W49" s="129">
        <v>309200</v>
      </c>
      <c r="X49" s="113" t="e">
        <f>Y49-#REF!</f>
        <v>#REF!</v>
      </c>
      <c r="Y49" s="90">
        <f>кмс!C56+МАКС!C58+сол!C58</f>
        <v>4238.6666666666661</v>
      </c>
      <c r="Z49" s="90">
        <f>кмс!F56+МАКС!F58+сол!F58</f>
        <v>4686.9166666666661</v>
      </c>
      <c r="AA49" s="90">
        <f>кмс!I56+МАКС!I58+сол!I58</f>
        <v>872.66666666666663</v>
      </c>
      <c r="AB49" s="113" t="e">
        <f t="shared" si="5"/>
        <v>#REF!</v>
      </c>
    </row>
    <row r="50" spans="1:28" ht="16.5" x14ac:dyDescent="0.25">
      <c r="A50" s="67">
        <v>46</v>
      </c>
      <c r="B50" s="77" t="s">
        <v>89</v>
      </c>
      <c r="C50" s="87">
        <v>116900</v>
      </c>
      <c r="D50" s="91">
        <f>мун.зак.!I52</f>
        <v>2750</v>
      </c>
      <c r="E50" s="93">
        <f>мун.зак.!J52</f>
        <v>1752</v>
      </c>
      <c r="F50" s="183">
        <f t="shared" si="2"/>
        <v>1.5</v>
      </c>
      <c r="G50" s="180">
        <f t="shared" si="6"/>
        <v>63.7</v>
      </c>
      <c r="H50" s="107" t="e">
        <f>[1]совита!L63+#REF!+L50+#REF!</f>
        <v>#REF!</v>
      </c>
      <c r="I50" s="107" t="e">
        <f>[1]совита!M63+#REF!+M50+#REF!</f>
        <v>#REF!</v>
      </c>
      <c r="J50" s="106" t="e">
        <f>[1]совита!N63+#REF!+N50+#REF!</f>
        <v>#REF!</v>
      </c>
      <c r="K50" s="107" t="e">
        <f>[1]совита!O63+#REF!+#REF!</f>
        <v>#REF!</v>
      </c>
      <c r="L50" s="107" t="e">
        <f>[1]совита!P63+#REF!+#REF!</f>
        <v>#REF!</v>
      </c>
      <c r="M50" s="107" t="e">
        <f>[1]совита!Q63+#REF!+#REF!</f>
        <v>#REF!</v>
      </c>
      <c r="N50" s="106" t="e">
        <f>[1]совита!R63+#REF!+#REF!</f>
        <v>#REF!</v>
      </c>
      <c r="O50" s="65"/>
      <c r="P50" s="65"/>
      <c r="Q50" s="65"/>
      <c r="R50" s="65"/>
      <c r="S50" s="65" t="e">
        <f>#REF!+#REF!+H50</f>
        <v>#REF!</v>
      </c>
      <c r="T50" s="65" t="e">
        <f>#REF!+#REF!+I50</f>
        <v>#REF!</v>
      </c>
      <c r="U50" s="130">
        <v>9585</v>
      </c>
      <c r="V50" s="129">
        <v>5895</v>
      </c>
      <c r="W50" s="129">
        <v>118600</v>
      </c>
      <c r="X50" s="113" t="e">
        <f>Y50-#REF!</f>
        <v>#REF!</v>
      </c>
      <c r="Y50" s="90">
        <f>кмс!C57+МАКС!C59+сол!C59</f>
        <v>2980.083333333333</v>
      </c>
      <c r="Z50" s="90">
        <f>кмс!F57+МАКС!F59+сол!F59</f>
        <v>5498.166666666667</v>
      </c>
      <c r="AA50" s="90">
        <f>кмс!I57+МАКС!I59+сол!I59</f>
        <v>0</v>
      </c>
      <c r="AB50" s="113">
        <f t="shared" si="5"/>
        <v>-2750</v>
      </c>
    </row>
    <row r="51" spans="1:28" ht="16.5" x14ac:dyDescent="0.25">
      <c r="A51" s="66">
        <v>47</v>
      </c>
      <c r="B51" s="77" t="s">
        <v>90</v>
      </c>
      <c r="C51" s="87">
        <f>199900+20100</f>
        <v>220000</v>
      </c>
      <c r="D51" s="91">
        <f>мун.зак.!I53</f>
        <v>11916.666666666666</v>
      </c>
      <c r="E51" s="93">
        <f>мун.зак.!J53</f>
        <v>9916</v>
      </c>
      <c r="F51" s="183">
        <f t="shared" si="2"/>
        <v>4.5</v>
      </c>
      <c r="G51" s="180">
        <f t="shared" si="6"/>
        <v>83.2</v>
      </c>
      <c r="H51" s="107" t="e">
        <f>[1]совита!L64+#REF!+L51+#REF!</f>
        <v>#REF!</v>
      </c>
      <c r="I51" s="107" t="e">
        <f>[1]совита!M64+#REF!+M51+#REF!</f>
        <v>#REF!</v>
      </c>
      <c r="J51" s="106" t="e">
        <f>[1]совита!N64+#REF!+N51+#REF!</f>
        <v>#REF!</v>
      </c>
      <c r="K51" s="107" t="e">
        <f>[1]совита!O64+#REF!+#REF!</f>
        <v>#REF!</v>
      </c>
      <c r="L51" s="107" t="e">
        <f>[1]совита!P64+#REF!+#REF!</f>
        <v>#REF!</v>
      </c>
      <c r="M51" s="107" t="e">
        <f>[1]совита!Q64+#REF!+#REF!</f>
        <v>#REF!</v>
      </c>
      <c r="N51" s="106" t="e">
        <f>[1]совита!R64+#REF!+#REF!</f>
        <v>#REF!</v>
      </c>
      <c r="O51" s="65"/>
      <c r="P51" s="65"/>
      <c r="Q51" s="65"/>
      <c r="R51" s="65"/>
      <c r="S51" s="65" t="e">
        <f>#REF!+#REF!+#REF!</f>
        <v>#REF!</v>
      </c>
      <c r="T51" s="65" t="e">
        <f>#REF!+#REF!+#REF!</f>
        <v>#REF!</v>
      </c>
      <c r="U51" s="130">
        <v>45994</v>
      </c>
      <c r="V51" s="129">
        <v>16391</v>
      </c>
      <c r="W51" s="129">
        <v>260000</v>
      </c>
      <c r="X51" s="113" t="e">
        <f>Y51-#REF!</f>
        <v>#REF!</v>
      </c>
      <c r="Y51" s="90" t="e">
        <f>кмс!#REF!+МАКС!C60+сол!C60</f>
        <v>#REF!</v>
      </c>
      <c r="Z51" s="90" t="e">
        <f>кмс!#REF!+МАКС!F60+сол!F60</f>
        <v>#REF!</v>
      </c>
      <c r="AA51" s="90" t="e">
        <f>кмс!#REF!+МАКС!I60+сол!I60</f>
        <v>#REF!</v>
      </c>
      <c r="AB51" s="113" t="e">
        <f t="shared" si="5"/>
        <v>#REF!</v>
      </c>
    </row>
    <row r="52" spans="1:28" ht="16.5" x14ac:dyDescent="0.25">
      <c r="A52" s="66">
        <v>48</v>
      </c>
      <c r="B52" s="77" t="s">
        <v>91</v>
      </c>
      <c r="C52" s="87">
        <v>34600</v>
      </c>
      <c r="D52" s="91">
        <f>мун.зак.!I54</f>
        <v>0</v>
      </c>
      <c r="E52" s="93">
        <f>мун.зак.!J54</f>
        <v>0</v>
      </c>
      <c r="F52" s="183">
        <f t="shared" si="2"/>
        <v>0</v>
      </c>
      <c r="G52" s="180" t="e">
        <f t="shared" si="6"/>
        <v>#DIV/0!</v>
      </c>
      <c r="H52" s="107" t="e">
        <f>[1]совита!L67+#REF!+L52+#REF!</f>
        <v>#REF!</v>
      </c>
      <c r="I52" s="107" t="e">
        <f>[1]совита!M67+#REF!+M52+#REF!</f>
        <v>#REF!</v>
      </c>
      <c r="J52" s="106" t="e">
        <f>[1]совита!N67+#REF!+N52+#REF!</f>
        <v>#REF!</v>
      </c>
      <c r="K52" s="107" t="e">
        <f>[1]совита!O67+#REF!+#REF!</f>
        <v>#REF!</v>
      </c>
      <c r="L52" s="107" t="e">
        <f>[1]совита!P67+#REF!+#REF!</f>
        <v>#REF!</v>
      </c>
      <c r="M52" s="107" t="e">
        <f>[1]совита!Q67+#REF!+#REF!</f>
        <v>#REF!</v>
      </c>
      <c r="N52" s="106" t="e">
        <f>[1]совита!R67+#REF!+#REF!</f>
        <v>#REF!</v>
      </c>
      <c r="O52" s="65"/>
      <c r="P52" s="65"/>
      <c r="Q52" s="65"/>
      <c r="R52" s="65"/>
      <c r="S52" s="65" t="e">
        <f>#REF!+#REF!+H52</f>
        <v>#REF!</v>
      </c>
      <c r="T52" s="65" t="e">
        <f>#REF!+#REF!+I52</f>
        <v>#REF!</v>
      </c>
      <c r="U52" s="130"/>
      <c r="V52" s="129"/>
      <c r="W52" s="129">
        <v>35100</v>
      </c>
      <c r="X52" s="113" t="e">
        <f>Y52-#REF!</f>
        <v>#REF!</v>
      </c>
      <c r="Y52" s="90">
        <f>кмс!C58+МАКС!C61+сол!C61</f>
        <v>1003.75</v>
      </c>
      <c r="Z52" s="90">
        <f>кмс!F58+МАКС!F61+сол!F61</f>
        <v>1931.4166666666667</v>
      </c>
      <c r="AA52" s="90">
        <f>кмс!I58+МАКС!I61+сол!I61</f>
        <v>0</v>
      </c>
      <c r="AB52" s="113">
        <f t="shared" si="5"/>
        <v>0</v>
      </c>
    </row>
    <row r="53" spans="1:28" ht="16.5" x14ac:dyDescent="0.25">
      <c r="A53" s="66">
        <v>49</v>
      </c>
      <c r="B53" s="77" t="s">
        <v>92</v>
      </c>
      <c r="C53" s="87">
        <v>104200</v>
      </c>
      <c r="D53" s="91">
        <f>мун.зак.!I55</f>
        <v>2750</v>
      </c>
      <c r="E53" s="93">
        <f>мун.зак.!J55</f>
        <v>1607</v>
      </c>
      <c r="F53" s="183">
        <f t="shared" si="2"/>
        <v>1.5</v>
      </c>
      <c r="G53" s="180">
        <f t="shared" si="6"/>
        <v>58.4</v>
      </c>
      <c r="H53" s="107" t="e">
        <f>[1]совита!L68+#REF!+L53+#REF!</f>
        <v>#REF!</v>
      </c>
      <c r="I53" s="107" t="e">
        <f>[1]совита!M68+#REF!+M53+#REF!</f>
        <v>#REF!</v>
      </c>
      <c r="J53" s="106" t="e">
        <f>[1]совита!N68+#REF!+N53+#REF!</f>
        <v>#REF!</v>
      </c>
      <c r="K53" s="107" t="e">
        <f>[1]совита!O68+#REF!+#REF!</f>
        <v>#REF!</v>
      </c>
      <c r="L53" s="107" t="e">
        <f>[1]совита!P68+#REF!+#REF!</f>
        <v>#REF!</v>
      </c>
      <c r="M53" s="107" t="e">
        <f>[1]совита!Q68+#REF!+#REF!</f>
        <v>#REF!</v>
      </c>
      <c r="N53" s="106" t="e">
        <f>[1]совита!R68+#REF!+#REF!</f>
        <v>#REF!</v>
      </c>
      <c r="O53" s="65"/>
      <c r="P53" s="65"/>
      <c r="Q53" s="65"/>
      <c r="R53" s="65"/>
      <c r="S53" s="65" t="e">
        <f>#REF!+#REF!+H53</f>
        <v>#REF!</v>
      </c>
      <c r="T53" s="65" t="e">
        <f>#REF!+#REF!+I53</f>
        <v>#REF!</v>
      </c>
      <c r="U53" s="130">
        <v>12065</v>
      </c>
      <c r="V53" s="129">
        <v>5137</v>
      </c>
      <c r="W53" s="129">
        <v>100616</v>
      </c>
      <c r="X53" s="113" t="e">
        <f>Y53-#REF!</f>
        <v>#REF!</v>
      </c>
      <c r="Y53" s="90" t="e">
        <f>кмс!C59+МАКС!#REF!+сол!#REF!</f>
        <v>#REF!</v>
      </c>
      <c r="Z53" s="90" t="e">
        <f>кмс!F59+МАКС!#REF!+сол!#REF!</f>
        <v>#REF!</v>
      </c>
      <c r="AA53" s="90" t="e">
        <f>кмс!I59+МАКС!#REF!+сол!#REF!</f>
        <v>#REF!</v>
      </c>
      <c r="AB53" s="113" t="e">
        <f t="shared" si="5"/>
        <v>#REF!</v>
      </c>
    </row>
    <row r="54" spans="1:28" ht="16.5" x14ac:dyDescent="0.25">
      <c r="A54" s="66">
        <v>50</v>
      </c>
      <c r="B54" s="77" t="s">
        <v>93</v>
      </c>
      <c r="C54" s="87">
        <v>112500</v>
      </c>
      <c r="D54" s="91">
        <f>мун.зак.!I56</f>
        <v>1833.3333333333333</v>
      </c>
      <c r="E54" s="93">
        <f>мун.зак.!J56</f>
        <v>240</v>
      </c>
      <c r="F54" s="183">
        <f t="shared" si="2"/>
        <v>0.2</v>
      </c>
      <c r="G54" s="180">
        <f t="shared" si="6"/>
        <v>13.1</v>
      </c>
      <c r="H54" s="107" t="e">
        <f>[1]совита!L69+#REF!+L54+#REF!</f>
        <v>#REF!</v>
      </c>
      <c r="I54" s="107" t="e">
        <f>[1]совита!M69+#REF!+M54+#REF!</f>
        <v>#REF!</v>
      </c>
      <c r="J54" s="106" t="e">
        <f>[1]совита!N69+#REF!+N54+#REF!</f>
        <v>#REF!</v>
      </c>
      <c r="K54" s="107" t="e">
        <f>[1]совита!O69+#REF!+#REF!</f>
        <v>#REF!</v>
      </c>
      <c r="L54" s="107" t="e">
        <f>[1]совита!P69+#REF!+#REF!</f>
        <v>#REF!</v>
      </c>
      <c r="M54" s="107" t="e">
        <f>[1]совита!Q69+#REF!+#REF!</f>
        <v>#REF!</v>
      </c>
      <c r="N54" s="106" t="e">
        <f>[1]совита!R69+#REF!+#REF!</f>
        <v>#REF!</v>
      </c>
      <c r="O54" s="65"/>
      <c r="P54" s="65"/>
      <c r="Q54" s="65"/>
      <c r="R54" s="65"/>
      <c r="S54" s="65" t="e">
        <f>#REF!+#REF!+H54</f>
        <v>#REF!</v>
      </c>
      <c r="T54" s="65" t="e">
        <f>#REF!+#REF!+I54</f>
        <v>#REF!</v>
      </c>
      <c r="U54" s="130">
        <v>9676</v>
      </c>
      <c r="V54" s="129">
        <v>5642</v>
      </c>
      <c r="W54" s="129">
        <v>109203</v>
      </c>
      <c r="X54" s="113" t="e">
        <f>Y54-#REF!</f>
        <v>#REF!</v>
      </c>
      <c r="Y54" s="90">
        <f>кмс!C60+МАКС!C62+сол!C62</f>
        <v>0</v>
      </c>
      <c r="Z54" s="90">
        <f>кмс!F60+МАКС!F62+сол!F62</f>
        <v>0</v>
      </c>
      <c r="AA54" s="157">
        <f>кмс!I60+МАКС!I62+сол!I62</f>
        <v>0</v>
      </c>
      <c r="AB54" s="113">
        <f t="shared" si="5"/>
        <v>-1833.3333333333333</v>
      </c>
    </row>
    <row r="55" spans="1:28" ht="16.5" x14ac:dyDescent="0.25">
      <c r="A55" s="66">
        <v>51</v>
      </c>
      <c r="B55" s="78" t="s">
        <v>94</v>
      </c>
      <c r="C55" s="87">
        <v>53570</v>
      </c>
      <c r="D55" s="91" t="e">
        <f>мун.зак.!#REF!</f>
        <v>#REF!</v>
      </c>
      <c r="E55" s="93" t="e">
        <f>мун.зак.!#REF!</f>
        <v>#REF!</v>
      </c>
      <c r="F55" s="183" t="e">
        <f t="shared" si="2"/>
        <v>#REF!</v>
      </c>
      <c r="G55" s="180" t="e">
        <f t="shared" si="6"/>
        <v>#REF!</v>
      </c>
      <c r="H55" s="107" t="e">
        <f>[1]совита!L70+#REF!+L55+#REF!</f>
        <v>#REF!</v>
      </c>
      <c r="I55" s="107" t="e">
        <f>[1]совита!M70+#REF!+M55+#REF!</f>
        <v>#REF!</v>
      </c>
      <c r="J55" s="106" t="e">
        <f>[1]совита!N70+#REF!+N55+#REF!</f>
        <v>#REF!</v>
      </c>
      <c r="K55" s="107" t="e">
        <f>[1]совита!O70+#REF!+#REF!</f>
        <v>#REF!</v>
      </c>
      <c r="L55" s="107" t="e">
        <f>[1]совита!P70+#REF!+#REF!</f>
        <v>#REF!</v>
      </c>
      <c r="M55" s="107" t="e">
        <f>[1]совита!Q70+#REF!+#REF!</f>
        <v>#REF!</v>
      </c>
      <c r="N55" s="106" t="e">
        <f>[1]совита!R70+#REF!+#REF!</f>
        <v>#REF!</v>
      </c>
      <c r="O55" s="65"/>
      <c r="P55" s="65"/>
      <c r="Q55" s="65"/>
      <c r="R55" s="65"/>
      <c r="S55" s="65" t="e">
        <f>#REF!+#REF!+H55</f>
        <v>#REF!</v>
      </c>
      <c r="T55" s="65" t="e">
        <f>#REF!+#REF!+I55</f>
        <v>#REF!</v>
      </c>
      <c r="U55" s="130">
        <v>5112</v>
      </c>
      <c r="V55" s="129">
        <v>3197</v>
      </c>
      <c r="W55" s="129">
        <v>55000</v>
      </c>
      <c r="X55" s="113" t="e">
        <f>Y55-#REF!</f>
        <v>#REF!</v>
      </c>
      <c r="Y55" s="90">
        <f>кмс!C61+МАКС!C63+сол!C63</f>
        <v>0</v>
      </c>
      <c r="Z55" s="90">
        <f>кмс!F61+МАКС!F63+сол!F63</f>
        <v>725.08333333333337</v>
      </c>
      <c r="AA55" s="90">
        <f>кмс!I61+МАКС!I63+сол!I63</f>
        <v>0</v>
      </c>
      <c r="AB55" s="113" t="e">
        <f t="shared" si="5"/>
        <v>#REF!</v>
      </c>
    </row>
    <row r="56" spans="1:28" ht="15.75" x14ac:dyDescent="0.25">
      <c r="A56" s="418" t="s">
        <v>122</v>
      </c>
      <c r="B56" s="419"/>
      <c r="C56" s="148">
        <f>SUM(C57:C67)</f>
        <v>147900</v>
      </c>
      <c r="D56" s="148">
        <f>SUM(D57:D67)</f>
        <v>0</v>
      </c>
      <c r="E56" s="149">
        <f>SUM(E57:E67)</f>
        <v>12</v>
      </c>
      <c r="F56" s="177">
        <f t="shared" si="2"/>
        <v>0</v>
      </c>
      <c r="G56" s="88" t="e">
        <f t="shared" si="6"/>
        <v>#DIV/0!</v>
      </c>
      <c r="H56" s="97" t="e">
        <f t="shared" ref="H56:W56" si="7">SUM(H57:H67)</f>
        <v>#REF!</v>
      </c>
      <c r="I56" s="97" t="e">
        <f t="shared" si="7"/>
        <v>#REF!</v>
      </c>
      <c r="J56" s="97" t="e">
        <f t="shared" si="7"/>
        <v>#REF!</v>
      </c>
      <c r="K56" s="97" t="e">
        <f t="shared" si="7"/>
        <v>#REF!</v>
      </c>
      <c r="L56" s="97" t="e">
        <f t="shared" si="7"/>
        <v>#REF!</v>
      </c>
      <c r="M56" s="97" t="e">
        <f t="shared" si="7"/>
        <v>#REF!</v>
      </c>
      <c r="N56" s="97" t="e">
        <f t="shared" si="7"/>
        <v>#REF!</v>
      </c>
      <c r="O56" s="97">
        <f t="shared" si="7"/>
        <v>0</v>
      </c>
      <c r="P56" s="97">
        <f t="shared" si="7"/>
        <v>0</v>
      </c>
      <c r="Q56" s="97">
        <f t="shared" si="7"/>
        <v>0</v>
      </c>
      <c r="R56" s="97">
        <f t="shared" si="7"/>
        <v>0</v>
      </c>
      <c r="S56" s="97" t="e">
        <f t="shared" si="7"/>
        <v>#REF!</v>
      </c>
      <c r="T56" s="97" t="e">
        <f t="shared" si="7"/>
        <v>#REF!</v>
      </c>
      <c r="U56" s="97">
        <f t="shared" si="7"/>
        <v>3651</v>
      </c>
      <c r="V56" s="97">
        <f t="shared" si="7"/>
        <v>6569</v>
      </c>
      <c r="W56" s="97">
        <f t="shared" si="7"/>
        <v>149950</v>
      </c>
      <c r="X56" s="113" t="e">
        <f>Y56-#REF!</f>
        <v>#REF!</v>
      </c>
      <c r="Y56" s="148" t="e">
        <f>SUM(Y57:Y67)</f>
        <v>#REF!</v>
      </c>
      <c r="Z56" s="148">
        <f>SUM(Z57:Z67)</f>
        <v>20168.500000000004</v>
      </c>
      <c r="AA56" s="148" t="e">
        <f>SUM(AA57:AA67)</f>
        <v>#REF!</v>
      </c>
      <c r="AB56" s="113" t="e">
        <f t="shared" si="5"/>
        <v>#REF!</v>
      </c>
    </row>
    <row r="57" spans="1:28" ht="16.5" x14ac:dyDescent="0.25">
      <c r="A57" s="66">
        <v>52</v>
      </c>
      <c r="B57" s="67" t="s">
        <v>86</v>
      </c>
      <c r="C57" s="87">
        <f>20000-5000</f>
        <v>15000</v>
      </c>
      <c r="D57" s="91">
        <f>мун.зак.!I58</f>
        <v>0</v>
      </c>
      <c r="E57" s="93">
        <f>мун.зак.!J58</f>
        <v>0</v>
      </c>
      <c r="F57" s="183">
        <f t="shared" si="2"/>
        <v>0</v>
      </c>
      <c r="G57" s="180" t="e">
        <f t="shared" si="6"/>
        <v>#DIV/0!</v>
      </c>
      <c r="H57" s="107" t="e">
        <f>[1]совита!L59+#REF!+L57+#REF!</f>
        <v>#REF!</v>
      </c>
      <c r="I57" s="107" t="e">
        <f>[1]совита!M59+#REF!+M57+#REF!</f>
        <v>#REF!</v>
      </c>
      <c r="J57" s="106" t="e">
        <f>[1]совита!N59+#REF!+N57+#REF!</f>
        <v>#REF!</v>
      </c>
      <c r="K57" s="107" t="e">
        <f>[1]совита!O59+#REF!+#REF!</f>
        <v>#REF!</v>
      </c>
      <c r="L57" s="107" t="e">
        <f>[1]совита!P59+#REF!+#REF!</f>
        <v>#REF!</v>
      </c>
      <c r="M57" s="107" t="e">
        <f>[1]совита!Q59+#REF!+#REF!</f>
        <v>#REF!</v>
      </c>
      <c r="N57" s="106" t="e">
        <f>[1]совита!R59+#REF!+#REF!</f>
        <v>#REF!</v>
      </c>
      <c r="O57" s="65">
        <v>0</v>
      </c>
      <c r="P57" s="65">
        <v>0</v>
      </c>
      <c r="Q57" s="65">
        <v>0</v>
      </c>
      <c r="R57" s="65">
        <v>0</v>
      </c>
      <c r="S57" s="65" t="e">
        <f>#REF!+#REF!+H57</f>
        <v>#REF!</v>
      </c>
      <c r="T57" s="65" t="e">
        <f>#REF!+#REF!+I57</f>
        <v>#REF!</v>
      </c>
      <c r="U57" s="130">
        <v>3651</v>
      </c>
      <c r="V57" s="129">
        <v>1516</v>
      </c>
      <c r="W57" s="129">
        <v>40000</v>
      </c>
      <c r="X57" s="113" t="e">
        <f>Y57-#REF!</f>
        <v>#REF!</v>
      </c>
      <c r="Y57" s="90">
        <f>кмс!C54+МАКС!C57+сол!C57</f>
        <v>4811.583333333333</v>
      </c>
      <c r="Z57" s="90">
        <f>кмс!F54+МАКС!F57+сол!F57</f>
        <v>7335.166666666667</v>
      </c>
      <c r="AA57" s="90">
        <f>кмс!I54+МАКС!I57+сол!I57</f>
        <v>0.42258333333333337</v>
      </c>
      <c r="AB57" s="113">
        <f t="shared" si="5"/>
        <v>0.42258333333333337</v>
      </c>
    </row>
    <row r="58" spans="1:28" ht="16.5" x14ac:dyDescent="0.25">
      <c r="A58" s="66">
        <v>54</v>
      </c>
      <c r="B58" s="92" t="s">
        <v>98</v>
      </c>
      <c r="C58" s="87">
        <f>15000-5000</f>
        <v>10000</v>
      </c>
      <c r="D58" s="91">
        <f>мун.зак.!I62</f>
        <v>0</v>
      </c>
      <c r="E58" s="93">
        <f>мун.зак.!J62</f>
        <v>0</v>
      </c>
      <c r="F58" s="183">
        <f t="shared" si="2"/>
        <v>0</v>
      </c>
      <c r="G58" s="180" t="e">
        <f t="shared" ref="G58:G68" si="8">ROUND(E58/D58*100,1)</f>
        <v>#DIV/0!</v>
      </c>
      <c r="H58" s="107" t="e">
        <f>[1]совита!L73+#REF!+L58+#REF!</f>
        <v>#REF!</v>
      </c>
      <c r="I58" s="107" t="e">
        <f>[1]совита!M73+#REF!+M58+#REF!</f>
        <v>#REF!</v>
      </c>
      <c r="J58" s="106" t="e">
        <f>[1]совита!N73+#REF!+N58+#REF!</f>
        <v>#REF!</v>
      </c>
      <c r="K58" s="107" t="e">
        <f>[1]совита!O73+#REF!+#REF!</f>
        <v>#REF!</v>
      </c>
      <c r="L58" s="107" t="e">
        <f>[1]совита!P73+#REF!+#REF!</f>
        <v>#REF!</v>
      </c>
      <c r="M58" s="107" t="e">
        <f>[1]совита!Q73+#REF!+#REF!</f>
        <v>#REF!</v>
      </c>
      <c r="N58" s="106" t="e">
        <f>[1]совита!R73+#REF!+#REF!</f>
        <v>#REF!</v>
      </c>
      <c r="O58" s="127"/>
      <c r="P58" s="127"/>
      <c r="Q58" s="127"/>
      <c r="R58" s="127"/>
      <c r="S58" s="98" t="e">
        <f>#REF!+#REF!+H58</f>
        <v>#REF!</v>
      </c>
      <c r="T58" s="98" t="e">
        <f>#REF!+#REF!+I58</f>
        <v>#REF!</v>
      </c>
      <c r="U58" s="132"/>
      <c r="V58" s="132"/>
      <c r="W58" s="129">
        <v>12000</v>
      </c>
      <c r="X58" s="113" t="e">
        <f>Y58-#REF!</f>
        <v>#REF!</v>
      </c>
      <c r="Y58" s="90"/>
      <c r="Z58" s="90"/>
      <c r="AA58" s="90" t="e">
        <f>кмс!#REF!+МАКС!I64+сол!I64</f>
        <v>#REF!</v>
      </c>
      <c r="AB58" s="113" t="e">
        <f t="shared" si="5"/>
        <v>#REF!</v>
      </c>
    </row>
    <row r="59" spans="1:28" ht="16.5" x14ac:dyDescent="0.25">
      <c r="A59" s="66">
        <v>55</v>
      </c>
      <c r="B59" s="92" t="s">
        <v>99</v>
      </c>
      <c r="C59" s="87">
        <v>10000</v>
      </c>
      <c r="D59" s="91">
        <f>мун.зак.!I63</f>
        <v>0</v>
      </c>
      <c r="E59" s="93">
        <f>мун.зак.!J63</f>
        <v>0</v>
      </c>
      <c r="F59" s="183">
        <f t="shared" si="2"/>
        <v>0</v>
      </c>
      <c r="G59" s="180" t="e">
        <f t="shared" si="8"/>
        <v>#DIV/0!</v>
      </c>
      <c r="H59" s="107" t="e">
        <f>[1]совита!L74+#REF!+L59+#REF!</f>
        <v>#REF!</v>
      </c>
      <c r="I59" s="107" t="e">
        <f>[1]совита!M74+#REF!+M59+#REF!</f>
        <v>#REF!</v>
      </c>
      <c r="J59" s="106" t="e">
        <f>[1]совита!N74+#REF!+N59+#REF!</f>
        <v>#REF!</v>
      </c>
      <c r="K59" s="107" t="e">
        <f>[1]совита!O74+#REF!+#REF!</f>
        <v>#REF!</v>
      </c>
      <c r="L59" s="107" t="e">
        <f>[1]совита!P74+#REF!+#REF!</f>
        <v>#REF!</v>
      </c>
      <c r="M59" s="107" t="e">
        <f>[1]совита!Q74+#REF!+#REF!</f>
        <v>#REF!</v>
      </c>
      <c r="N59" s="106" t="e">
        <f>[1]совита!R74+#REF!+#REF!</f>
        <v>#REF!</v>
      </c>
      <c r="O59" s="127"/>
      <c r="P59" s="127"/>
      <c r="Q59" s="127"/>
      <c r="R59" s="127"/>
      <c r="S59" s="98" t="e">
        <f>#REF!+#REF!+H59</f>
        <v>#REF!</v>
      </c>
      <c r="T59" s="98" t="e">
        <f>#REF!+#REF!+I59</f>
        <v>#REF!</v>
      </c>
      <c r="U59" s="132"/>
      <c r="V59" s="132"/>
      <c r="W59" s="129">
        <v>5150</v>
      </c>
      <c r="X59" s="113" t="e">
        <f>Y59-#REF!</f>
        <v>#REF!</v>
      </c>
      <c r="Y59" s="90"/>
      <c r="Z59" s="90"/>
      <c r="AA59" s="90">
        <f>кмс!I62+МАКС!I65+сол!I65</f>
        <v>0</v>
      </c>
      <c r="AB59" s="113">
        <f t="shared" si="5"/>
        <v>0</v>
      </c>
    </row>
    <row r="60" spans="1:28" ht="16.5" x14ac:dyDescent="0.25">
      <c r="A60" s="66">
        <v>56</v>
      </c>
      <c r="B60" s="92" t="s">
        <v>103</v>
      </c>
      <c r="C60" s="87">
        <v>35000</v>
      </c>
      <c r="D60" s="91">
        <f>мун.зак.!I64</f>
        <v>0</v>
      </c>
      <c r="E60" s="93">
        <f>мун.зак.!J64</f>
        <v>0</v>
      </c>
      <c r="F60" s="183">
        <f t="shared" si="2"/>
        <v>0</v>
      </c>
      <c r="G60" s="180" t="e">
        <f t="shared" si="8"/>
        <v>#DIV/0!</v>
      </c>
      <c r="H60" s="107" t="e">
        <f>[1]совита!L75+#REF!+L60+#REF!</f>
        <v>#REF!</v>
      </c>
      <c r="I60" s="107" t="e">
        <f>[1]совита!M75+#REF!+M60+#REF!</f>
        <v>#REF!</v>
      </c>
      <c r="J60" s="106" t="e">
        <f>[1]совита!N75+#REF!+N60+#REF!</f>
        <v>#REF!</v>
      </c>
      <c r="K60" s="107" t="e">
        <f>[1]совита!O75+#REF!+#REF!</f>
        <v>#REF!</v>
      </c>
      <c r="L60" s="107" t="e">
        <f>[1]совита!P75+#REF!+#REF!</f>
        <v>#REF!</v>
      </c>
      <c r="M60" s="107" t="e">
        <f>[1]совита!Q75+#REF!+#REF!</f>
        <v>#REF!</v>
      </c>
      <c r="N60" s="106" t="e">
        <f>[1]совита!R75+#REF!+#REF!</f>
        <v>#REF!</v>
      </c>
      <c r="O60" s="127"/>
      <c r="P60" s="127"/>
      <c r="Q60" s="127"/>
      <c r="R60" s="127"/>
      <c r="S60" s="98" t="e">
        <f>#REF!+#REF!+H60</f>
        <v>#REF!</v>
      </c>
      <c r="T60" s="98" t="e">
        <f>#REF!+#REF!+I60</f>
        <v>#REF!</v>
      </c>
      <c r="U60" s="132"/>
      <c r="V60" s="132"/>
      <c r="W60" s="129">
        <v>28500</v>
      </c>
      <c r="X60" s="113" t="e">
        <f>Y60-#REF!</f>
        <v>#REF!</v>
      </c>
      <c r="Y60" s="90"/>
      <c r="Z60" s="90"/>
      <c r="AA60" s="90">
        <f>кмс!I63+МАКС!I66+сол!I66</f>
        <v>0</v>
      </c>
      <c r="AB60" s="113">
        <f t="shared" si="5"/>
        <v>0</v>
      </c>
    </row>
    <row r="61" spans="1:28" ht="16.5" x14ac:dyDescent="0.25">
      <c r="A61" s="66">
        <v>57</v>
      </c>
      <c r="B61" s="92" t="s">
        <v>110</v>
      </c>
      <c r="C61" s="87">
        <v>10000</v>
      </c>
      <c r="D61" s="91">
        <f>мун.зак.!I65</f>
        <v>0</v>
      </c>
      <c r="E61" s="93">
        <f>мун.зак.!J65</f>
        <v>0</v>
      </c>
      <c r="F61" s="183">
        <f t="shared" si="2"/>
        <v>0</v>
      </c>
      <c r="G61" s="180" t="e">
        <f t="shared" si="8"/>
        <v>#DIV/0!</v>
      </c>
      <c r="H61" s="107" t="e">
        <f>[1]совита!L76+#REF!+L61+#REF!</f>
        <v>#REF!</v>
      </c>
      <c r="I61" s="107" t="e">
        <f>[1]совита!M76+#REF!+M61+#REF!</f>
        <v>#REF!</v>
      </c>
      <c r="J61" s="106" t="e">
        <f>[1]совита!N76+#REF!+N61+#REF!</f>
        <v>#REF!</v>
      </c>
      <c r="K61" s="107" t="e">
        <f>[1]совита!O76+#REF!+#REF!</f>
        <v>#REF!</v>
      </c>
      <c r="L61" s="107" t="e">
        <f>[1]совита!P76+#REF!+#REF!</f>
        <v>#REF!</v>
      </c>
      <c r="M61" s="107" t="e">
        <f>[1]совита!Q76+#REF!+#REF!</f>
        <v>#REF!</v>
      </c>
      <c r="N61" s="106" t="e">
        <f>[1]совита!R76+#REF!+#REF!</f>
        <v>#REF!</v>
      </c>
      <c r="S61" s="98" t="e">
        <f>#REF!+#REF!+H61</f>
        <v>#REF!</v>
      </c>
      <c r="T61" s="98" t="e">
        <f>#REF!+#REF!+I61</f>
        <v>#REF!</v>
      </c>
      <c r="U61" s="1"/>
      <c r="V61" s="1"/>
      <c r="W61" s="59">
        <v>9000</v>
      </c>
      <c r="X61" s="113" t="e">
        <f>Y61-#REF!</f>
        <v>#REF!</v>
      </c>
      <c r="Y61" s="90"/>
      <c r="Z61" s="90"/>
      <c r="AA61" s="90">
        <f>кмс!I64+МАКС!I67+сол!I67</f>
        <v>0</v>
      </c>
      <c r="AB61" s="113">
        <f t="shared" si="5"/>
        <v>0</v>
      </c>
    </row>
    <row r="62" spans="1:28" ht="16.5" x14ac:dyDescent="0.25">
      <c r="A62" s="66">
        <v>58</v>
      </c>
      <c r="B62" s="92" t="s">
        <v>111</v>
      </c>
      <c r="C62" s="87">
        <f>26000-10100</f>
        <v>15900</v>
      </c>
      <c r="D62" s="91">
        <f>мун.зак.!I66</f>
        <v>0</v>
      </c>
      <c r="E62" s="93">
        <f>мун.зак.!J66</f>
        <v>0</v>
      </c>
      <c r="F62" s="183">
        <f t="shared" ref="F62:F68" si="9">ROUND(E62/C62*100,1)</f>
        <v>0</v>
      </c>
      <c r="G62" s="180" t="e">
        <f t="shared" si="8"/>
        <v>#DIV/0!</v>
      </c>
      <c r="H62" s="107" t="e">
        <f>[1]совита!L77+#REF!+L62+#REF!</f>
        <v>#REF!</v>
      </c>
      <c r="I62" s="107" t="e">
        <f>[1]совита!M77+#REF!+M62+#REF!</f>
        <v>#REF!</v>
      </c>
      <c r="J62" s="106" t="e">
        <f>[1]совита!N77+#REF!+N62+#REF!</f>
        <v>#REF!</v>
      </c>
      <c r="K62" s="107" t="e">
        <f>[1]совита!O77+#REF!+#REF!</f>
        <v>#REF!</v>
      </c>
      <c r="L62" s="107" t="e">
        <f>[1]совита!P77+#REF!+#REF!</f>
        <v>#REF!</v>
      </c>
      <c r="M62" s="107" t="e">
        <f>[1]совита!Q77+#REF!+#REF!</f>
        <v>#REF!</v>
      </c>
      <c r="N62" s="106" t="e">
        <f>[1]совита!R77+#REF!+#REF!</f>
        <v>#REF!</v>
      </c>
      <c r="S62" s="98" t="e">
        <f>#REF!+#REF!+H62</f>
        <v>#REF!</v>
      </c>
      <c r="T62" s="98" t="e">
        <f>#REF!+#REF!+I62</f>
        <v>#REF!</v>
      </c>
      <c r="U62" s="1"/>
      <c r="V62" s="1"/>
      <c r="W62" s="59">
        <v>26000</v>
      </c>
      <c r="X62" s="113" t="e">
        <f>Y62-#REF!</f>
        <v>#REF!</v>
      </c>
      <c r="Y62" s="90"/>
      <c r="Z62" s="90"/>
      <c r="AA62" s="90">
        <f>кмс!I65+МАКС!I68+сол!I68</f>
        <v>0</v>
      </c>
      <c r="AB62" s="113">
        <f>AA62-D62</f>
        <v>0</v>
      </c>
    </row>
    <row r="63" spans="1:28" ht="16.5" x14ac:dyDescent="0.25">
      <c r="A63" s="66">
        <v>59</v>
      </c>
      <c r="B63" s="92" t="s">
        <v>112</v>
      </c>
      <c r="C63" s="87">
        <f>13000+5000</f>
        <v>18000</v>
      </c>
      <c r="D63" s="91">
        <f>мун.зак.!I67</f>
        <v>0</v>
      </c>
      <c r="E63" s="93">
        <f>мун.зак.!J67</f>
        <v>0</v>
      </c>
      <c r="F63" s="183">
        <f t="shared" si="9"/>
        <v>0</v>
      </c>
      <c r="G63" s="180" t="e">
        <f t="shared" si="8"/>
        <v>#DIV/0!</v>
      </c>
      <c r="H63" s="107" t="e">
        <f>[1]совита!L78+#REF!+L63+#REF!</f>
        <v>#REF!</v>
      </c>
      <c r="I63" s="107" t="e">
        <f>[1]совита!M78+#REF!+M63+#REF!</f>
        <v>#REF!</v>
      </c>
      <c r="J63" s="106" t="e">
        <f>[1]совита!N78+#REF!+N63+#REF!</f>
        <v>#REF!</v>
      </c>
      <c r="K63" s="107" t="e">
        <f>[1]совита!O78+#REF!+#REF!</f>
        <v>#REF!</v>
      </c>
      <c r="L63" s="107" t="e">
        <f>[1]совита!P78+#REF!+#REF!</f>
        <v>#REF!</v>
      </c>
      <c r="M63" s="107" t="e">
        <f>[1]совита!Q78+#REF!+#REF!</f>
        <v>#REF!</v>
      </c>
      <c r="N63" s="106" t="e">
        <f>[1]совита!R78+#REF!+#REF!</f>
        <v>#REF!</v>
      </c>
      <c r="S63" s="98" t="e">
        <f>#REF!+#REF!+H63</f>
        <v>#REF!</v>
      </c>
      <c r="T63" s="98" t="e">
        <f>#REF!+#REF!+I63</f>
        <v>#REF!</v>
      </c>
      <c r="U63" s="1"/>
      <c r="V63" s="1"/>
      <c r="W63" s="59">
        <v>5400</v>
      </c>
      <c r="X63" s="113" t="e">
        <f>Y63-#REF!</f>
        <v>#REF!</v>
      </c>
      <c r="Y63" s="90"/>
      <c r="Z63" s="90"/>
      <c r="AA63" s="90">
        <f>кмс!I66+МАКС!I69+сол!I69</f>
        <v>0</v>
      </c>
      <c r="AB63" s="113">
        <f>AA63-D63</f>
        <v>0</v>
      </c>
    </row>
    <row r="64" spans="1:28" ht="16.5" x14ac:dyDescent="0.25">
      <c r="A64" s="66">
        <v>60</v>
      </c>
      <c r="B64" s="67" t="s">
        <v>134</v>
      </c>
      <c r="C64" s="87">
        <v>1000</v>
      </c>
      <c r="D64" s="91">
        <f>мун.зак.!I68</f>
        <v>0</v>
      </c>
      <c r="E64" s="93">
        <f>мун.зак.!J68</f>
        <v>0</v>
      </c>
      <c r="F64" s="183">
        <f t="shared" si="9"/>
        <v>0</v>
      </c>
      <c r="G64" s="180" t="e">
        <f t="shared" si="8"/>
        <v>#DIV/0!</v>
      </c>
      <c r="H64" s="107"/>
      <c r="I64" s="107"/>
      <c r="J64" s="106"/>
      <c r="K64" s="107"/>
      <c r="L64" s="107"/>
      <c r="M64" s="107"/>
      <c r="N64" s="106"/>
      <c r="S64" s="98"/>
      <c r="T64" s="98"/>
      <c r="U64" s="1"/>
      <c r="V64" s="1"/>
      <c r="W64" s="59"/>
      <c r="X64" s="113"/>
      <c r="Y64" s="90"/>
      <c r="Z64" s="90"/>
      <c r="AA64" s="90"/>
      <c r="AB64" s="113"/>
    </row>
    <row r="65" spans="1:28" ht="16.5" x14ac:dyDescent="0.25">
      <c r="A65" s="66">
        <v>61</v>
      </c>
      <c r="B65" s="67" t="s">
        <v>135</v>
      </c>
      <c r="C65" s="87">
        <v>4000</v>
      </c>
      <c r="D65" s="91">
        <f>мун.зак.!I69</f>
        <v>0</v>
      </c>
      <c r="E65" s="93">
        <f>мун.зак.!J69</f>
        <v>0</v>
      </c>
      <c r="F65" s="183">
        <f t="shared" si="9"/>
        <v>0</v>
      </c>
      <c r="G65" s="180" t="e">
        <f t="shared" si="8"/>
        <v>#DIV/0!</v>
      </c>
      <c r="H65" s="107"/>
      <c r="I65" s="107"/>
      <c r="J65" s="106"/>
      <c r="K65" s="107"/>
      <c r="L65" s="107"/>
      <c r="M65" s="107"/>
      <c r="N65" s="106"/>
      <c r="S65" s="98"/>
      <c r="T65" s="98"/>
      <c r="U65" s="1"/>
      <c r="V65" s="1"/>
      <c r="W65" s="59"/>
      <c r="X65" s="113"/>
      <c r="Y65" s="90"/>
      <c r="Z65" s="90"/>
      <c r="AA65" s="90"/>
      <c r="AB65" s="113"/>
    </row>
    <row r="66" spans="1:28" ht="16.5" x14ac:dyDescent="0.25">
      <c r="A66" s="67">
        <v>62</v>
      </c>
      <c r="B66" s="67" t="s">
        <v>125</v>
      </c>
      <c r="C66" s="87">
        <v>12000</v>
      </c>
      <c r="D66" s="91">
        <f>мун.зак.!I71</f>
        <v>0</v>
      </c>
      <c r="E66" s="93">
        <f>мун.зак.!J71</f>
        <v>0</v>
      </c>
      <c r="F66" s="183">
        <f t="shared" si="9"/>
        <v>0</v>
      </c>
      <c r="G66" s="180" t="e">
        <f t="shared" si="8"/>
        <v>#DIV/0!</v>
      </c>
      <c r="H66" s="107" t="e">
        <f>[1]совита!L10+#REF!+L66+#REF!</f>
        <v>#REF!</v>
      </c>
      <c r="I66" s="107" t="e">
        <f>[1]совита!M10+#REF!+M66+#REF!</f>
        <v>#REF!</v>
      </c>
      <c r="J66" s="106" t="e">
        <f>[1]совита!N10+#REF!+N66+#REF!</f>
        <v>#REF!</v>
      </c>
      <c r="K66" s="107" t="e">
        <f>[1]совита!O10+#REF!+#REF!</f>
        <v>#REF!</v>
      </c>
      <c r="L66" s="107" t="e">
        <f>[1]совита!P10+#REF!+#REF!</f>
        <v>#REF!</v>
      </c>
      <c r="M66" s="107" t="e">
        <f>[1]совита!Q10+#REF!+#REF!</f>
        <v>#REF!</v>
      </c>
      <c r="N66" s="106" t="e">
        <f>[1]совита!R10+#REF!+#REF!</f>
        <v>#REF!</v>
      </c>
      <c r="O66" s="65">
        <v>0</v>
      </c>
      <c r="P66" s="65">
        <v>0</v>
      </c>
      <c r="Q66" s="65">
        <v>0</v>
      </c>
      <c r="R66" s="65">
        <v>0</v>
      </c>
      <c r="S66" s="65" t="e">
        <f>#REF!+#REF!+H66</f>
        <v>#REF!</v>
      </c>
      <c r="T66" s="65" t="e">
        <f>#REF!+#REF!+I66</f>
        <v>#REF!</v>
      </c>
      <c r="U66" s="130"/>
      <c r="V66" s="129">
        <v>2021</v>
      </c>
      <c r="W66" s="129">
        <v>11900</v>
      </c>
      <c r="X66" s="113" t="e">
        <f>Y66-#REF!</f>
        <v>#REF!</v>
      </c>
      <c r="Y66" s="90" t="e">
        <f>кмс!#REF!+МАКС!#REF!+сол!#REF!</f>
        <v>#REF!</v>
      </c>
      <c r="Z66" s="157">
        <f>кмс!F10+МАКС!F10+сол!F10</f>
        <v>9166.6666666666679</v>
      </c>
      <c r="AA66" s="157">
        <f>кмс!I10+МАКС!I10+сол!I10</f>
        <v>0</v>
      </c>
      <c r="AB66" s="113">
        <f>AA66-D66</f>
        <v>0</v>
      </c>
    </row>
    <row r="67" spans="1:28" ht="17.25" thickBot="1" x14ac:dyDescent="0.3">
      <c r="A67" s="67">
        <v>63</v>
      </c>
      <c r="B67" s="67" t="s">
        <v>126</v>
      </c>
      <c r="C67" s="87">
        <v>17000</v>
      </c>
      <c r="D67" s="91">
        <f>мун.зак.!I72</f>
        <v>0</v>
      </c>
      <c r="E67" s="93">
        <f>мун.зак.!J72</f>
        <v>12</v>
      </c>
      <c r="F67" s="183">
        <f t="shared" si="9"/>
        <v>0.1</v>
      </c>
      <c r="G67" s="180" t="e">
        <f t="shared" si="8"/>
        <v>#DIV/0!</v>
      </c>
      <c r="H67" s="107" t="e">
        <f>[1]совита!L34+#REF!+L30+#REF!</f>
        <v>#REF!</v>
      </c>
      <c r="I67" s="107" t="e">
        <f>[1]совита!M34+#REF!+M30+#REF!</f>
        <v>#REF!</v>
      </c>
      <c r="J67" s="106" t="e">
        <f>[1]совита!N34+#REF!+N30+#REF!</f>
        <v>#REF!</v>
      </c>
      <c r="K67" s="107" t="e">
        <f>[1]совита!O34+#REF!+#REF!</f>
        <v>#REF!</v>
      </c>
      <c r="L67" s="107" t="e">
        <f>[1]совита!P34+#REF!+#REF!</f>
        <v>#REF!</v>
      </c>
      <c r="M67" s="107" t="e">
        <f>[1]совита!Q34+#REF!+#REF!</f>
        <v>#REF!</v>
      </c>
      <c r="N67" s="106" t="e">
        <f>[1]совита!R34+#REF!+#REF!</f>
        <v>#REF!</v>
      </c>
      <c r="O67" s="65">
        <v>0</v>
      </c>
      <c r="P67" s="65">
        <v>0</v>
      </c>
      <c r="Q67" s="65">
        <v>0</v>
      </c>
      <c r="R67" s="65">
        <v>0</v>
      </c>
      <c r="S67" s="65" t="e">
        <f>#REF!+#REF!+H30</f>
        <v>#REF!</v>
      </c>
      <c r="T67" s="65" t="e">
        <f>#REF!+#REF!+I30</f>
        <v>#REF!</v>
      </c>
      <c r="U67" s="130"/>
      <c r="V67" s="129">
        <v>3032</v>
      </c>
      <c r="W67" s="129">
        <v>12000</v>
      </c>
      <c r="X67" s="113" t="e">
        <f>Y67-#REF!</f>
        <v>#REF!</v>
      </c>
      <c r="Y67" s="90">
        <f>кмс!C31+МАКС!C31+сол!C31</f>
        <v>0</v>
      </c>
      <c r="Z67" s="90">
        <f>кмс!F31+МАКС!F31+сол!F31</f>
        <v>3666.6666666666665</v>
      </c>
      <c r="AA67" s="90">
        <f>кмс!I31+МАКС!I31+сол!I31</f>
        <v>1833.333333333333</v>
      </c>
      <c r="AB67" s="113">
        <f>AA67-D67</f>
        <v>1833.333333333333</v>
      </c>
    </row>
    <row r="68" spans="1:28" ht="15.75" x14ac:dyDescent="0.25">
      <c r="A68" s="1"/>
      <c r="B68" s="94" t="s">
        <v>95</v>
      </c>
      <c r="C68" s="213">
        <f>SUM(C13+C6+C56)</f>
        <v>6142680</v>
      </c>
      <c r="D68" s="79" t="e">
        <f>SUM(D13+D6+D56)</f>
        <v>#REF!</v>
      </c>
      <c r="E68" s="182" t="e">
        <f>SUM(E13+E6+E56)</f>
        <v>#REF!</v>
      </c>
      <c r="F68" s="184" t="e">
        <f t="shared" si="9"/>
        <v>#REF!</v>
      </c>
      <c r="G68" s="102" t="e">
        <f t="shared" si="8"/>
        <v>#REF!</v>
      </c>
      <c r="H68" s="80" t="e">
        <f t="shared" ref="H68:T68" si="10">SUM(H13+H6+H56)</f>
        <v>#REF!</v>
      </c>
      <c r="I68" s="80" t="e">
        <f t="shared" si="10"/>
        <v>#REF!</v>
      </c>
      <c r="J68" s="79" t="e">
        <f t="shared" si="10"/>
        <v>#REF!</v>
      </c>
      <c r="K68" s="80" t="e">
        <f t="shared" si="10"/>
        <v>#REF!</v>
      </c>
      <c r="L68" s="80" t="e">
        <f t="shared" si="10"/>
        <v>#REF!</v>
      </c>
      <c r="M68" s="80" t="e">
        <f t="shared" si="10"/>
        <v>#REF!</v>
      </c>
      <c r="N68" s="79" t="e">
        <f t="shared" si="10"/>
        <v>#REF!</v>
      </c>
      <c r="O68" s="80">
        <f t="shared" si="10"/>
        <v>0</v>
      </c>
      <c r="P68" s="80">
        <f t="shared" si="10"/>
        <v>0</v>
      </c>
      <c r="Q68" s="80">
        <f t="shared" si="10"/>
        <v>0</v>
      </c>
      <c r="R68" s="80">
        <f t="shared" si="10"/>
        <v>0</v>
      </c>
      <c r="S68" s="80" t="e">
        <f t="shared" si="10"/>
        <v>#REF!</v>
      </c>
      <c r="T68" s="80" t="e">
        <f t="shared" si="10"/>
        <v>#REF!</v>
      </c>
      <c r="U68" s="79">
        <f>U56+U13+U6</f>
        <v>1320067</v>
      </c>
      <c r="V68" s="79">
        <f>V56+V13+V6</f>
        <v>332151</v>
      </c>
      <c r="W68" s="79">
        <f>W56+W13+W6</f>
        <v>5953026</v>
      </c>
      <c r="X68" s="160" t="e">
        <f>Y68-#REF!</f>
        <v>#REF!</v>
      </c>
      <c r="Y68" s="79" t="e">
        <f>Y56+Y13+Y6</f>
        <v>#REF!</v>
      </c>
      <c r="Z68" s="79" t="e">
        <f>Z56+Z13+Z6</f>
        <v>#REF!</v>
      </c>
      <c r="AA68" s="79" t="e">
        <f>AA56+AA13+AA6</f>
        <v>#REF!</v>
      </c>
      <c r="AB68" s="79" t="e">
        <f>AB56+AB13+AB6</f>
        <v>#REF!</v>
      </c>
    </row>
    <row r="70" spans="1:28" x14ac:dyDescent="0.2">
      <c r="D70" s="90">
        <f>кмс!I69+МАКС!I72+сол!I72</f>
        <v>0</v>
      </c>
    </row>
    <row r="71" spans="1:28" x14ac:dyDescent="0.2">
      <c r="D71" s="90" t="e">
        <f>D70-D68</f>
        <v>#REF!</v>
      </c>
      <c r="AA71" s="90" t="e">
        <f>AA62+AA61+#REF!+#REF!+#REF!</f>
        <v>#REF!</v>
      </c>
      <c r="AB71" s="90"/>
    </row>
    <row r="73" spans="1:28" x14ac:dyDescent="0.2">
      <c r="D73" s="113"/>
    </row>
  </sheetData>
  <mergeCells count="11">
    <mergeCell ref="A38:B38"/>
    <mergeCell ref="A6:B6"/>
    <mergeCell ref="A56:B56"/>
    <mergeCell ref="A4:B4"/>
    <mergeCell ref="A13:B13"/>
    <mergeCell ref="A1:W1"/>
    <mergeCell ref="A2:W2"/>
    <mergeCell ref="K3:N3"/>
    <mergeCell ref="S3:T3"/>
    <mergeCell ref="U3:W3"/>
    <mergeCell ref="C3:J3"/>
  </mergeCells>
  <phoneticPr fontId="0" type="noConversion"/>
  <pageMargins left="0.78740157480314965" right="0" top="0" bottom="0" header="0" footer="0"/>
  <pageSetup paperSize="9"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J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0.5703125" bestFit="1" customWidth="1"/>
    <col min="5" max="5" width="10.5703125" customWidth="1"/>
    <col min="7" max="7" width="11" bestFit="1" customWidth="1"/>
    <col min="8" max="8" width="10.5703125" bestFit="1" customWidth="1"/>
    <col min="9" max="9" width="10.5703125" customWidth="1"/>
    <col min="11" max="11" width="11.85546875" bestFit="1" customWidth="1"/>
    <col min="12" max="12" width="10.570312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253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/>
      <c r="C4" s="22"/>
      <c r="D4" s="22"/>
      <c r="E4" s="22"/>
      <c r="F4" s="22"/>
      <c r="G4" s="22"/>
      <c r="H4" s="22"/>
      <c r="I4" s="125"/>
      <c r="J4" s="22">
        <f>425+570+85+30+30+390+260+150+160+140+75</f>
        <v>2315</v>
      </c>
      <c r="K4" s="22"/>
      <c r="L4" s="22"/>
      <c r="M4" s="22"/>
      <c r="N4" s="22">
        <v>2757</v>
      </c>
      <c r="O4" s="22"/>
      <c r="P4" s="22"/>
      <c r="Q4" s="22"/>
      <c r="R4" s="22"/>
      <c r="S4" s="22"/>
      <c r="T4" s="22"/>
      <c r="U4" s="22"/>
      <c r="V4" s="22">
        <v>360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/>
      <c r="C5" s="22"/>
      <c r="D5" s="22"/>
      <c r="E5" s="22"/>
      <c r="F5" s="22"/>
      <c r="G5" s="22"/>
      <c r="H5" s="22"/>
      <c r="I5" s="125"/>
      <c r="J5" s="22">
        <f>425+570+35+35+400+280+170+170+150+80</f>
        <v>2315</v>
      </c>
      <c r="K5" s="22"/>
      <c r="L5" s="22"/>
      <c r="M5" s="22"/>
      <c r="N5" s="22">
        <v>2835</v>
      </c>
      <c r="O5" s="22"/>
      <c r="P5" s="22"/>
      <c r="Q5" s="22"/>
      <c r="R5" s="22"/>
      <c r="S5" s="22"/>
      <c r="T5" s="22"/>
      <c r="U5" s="22"/>
      <c r="V5" s="22">
        <v>380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/>
      <c r="C6" s="22"/>
      <c r="D6" s="22"/>
      <c r="E6" s="22"/>
      <c r="F6" s="22"/>
      <c r="G6" s="22"/>
      <c r="H6" s="22"/>
      <c r="I6" s="125"/>
      <c r="J6" s="22">
        <f>425+570+100+35+35+400+280+170+180+150+90</f>
        <v>2435</v>
      </c>
      <c r="K6" s="22"/>
      <c r="L6" s="22"/>
      <c r="M6" s="22"/>
      <c r="N6" s="22">
        <v>3025</v>
      </c>
      <c r="O6" s="22"/>
      <c r="P6" s="22"/>
      <c r="Q6" s="22"/>
      <c r="R6" s="22"/>
      <c r="S6" s="22"/>
      <c r="T6" s="22"/>
      <c r="U6" s="22"/>
      <c r="V6" s="22">
        <v>390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/>
      <c r="C7" s="22"/>
      <c r="D7" s="22"/>
      <c r="E7" s="22"/>
      <c r="F7" s="22"/>
      <c r="G7" s="22"/>
      <c r="H7" s="22"/>
      <c r="I7" s="125"/>
      <c r="J7" s="22">
        <f>425+570+100+35+35+400+280+170+180+160+90</f>
        <v>2445</v>
      </c>
      <c r="K7" s="22"/>
      <c r="L7" s="22"/>
      <c r="M7" s="22"/>
      <c r="N7" s="22">
        <v>3021</v>
      </c>
      <c r="O7" s="22"/>
      <c r="P7" s="22"/>
      <c r="Q7" s="22"/>
      <c r="R7" s="22"/>
      <c r="S7" s="22"/>
      <c r="T7" s="22"/>
      <c r="U7" s="22"/>
      <c r="V7" s="22">
        <v>380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/>
      <c r="C8" s="22"/>
      <c r="D8" s="22"/>
      <c r="E8" s="22"/>
      <c r="F8" s="22"/>
      <c r="G8" s="22"/>
      <c r="H8" s="22"/>
      <c r="I8" s="125"/>
      <c r="J8" s="22">
        <f>425+560+100+35+35+400+270+160+170+160+80</f>
        <v>2395</v>
      </c>
      <c r="K8" s="22"/>
      <c r="L8" s="22"/>
      <c r="M8" s="22"/>
      <c r="N8" s="22">
        <v>2855</v>
      </c>
      <c r="O8" s="22"/>
      <c r="P8" s="22"/>
      <c r="Q8" s="22"/>
      <c r="R8" s="22"/>
      <c r="S8" s="22"/>
      <c r="T8" s="22"/>
      <c r="U8" s="22"/>
      <c r="V8" s="22">
        <v>380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9545</v>
      </c>
      <c r="C9" s="22"/>
      <c r="D9" s="22"/>
      <c r="E9" s="22"/>
      <c r="F9" s="22">
        <v>5026</v>
      </c>
      <c r="G9" s="22"/>
      <c r="H9" s="22"/>
      <c r="I9" s="125"/>
      <c r="J9" s="22">
        <f>425+560+100+35+35+400+250+150+160+125+70</f>
        <v>2310</v>
      </c>
      <c r="K9" s="22"/>
      <c r="L9" s="22"/>
      <c r="M9" s="22"/>
      <c r="N9" s="22">
        <v>2655</v>
      </c>
      <c r="O9" s="22"/>
      <c r="P9" s="22"/>
      <c r="Q9" s="22"/>
      <c r="R9" s="22">
        <v>165</v>
      </c>
      <c r="S9" s="22"/>
      <c r="T9" s="22"/>
      <c r="U9" s="22"/>
      <c r="V9" s="22">
        <v>360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1683</v>
      </c>
      <c r="C10" s="22"/>
      <c r="D10" s="22"/>
      <c r="E10" s="22"/>
      <c r="F10" s="22">
        <v>804</v>
      </c>
      <c r="G10" s="22"/>
      <c r="H10" s="22"/>
      <c r="I10" s="125"/>
      <c r="J10" s="22">
        <v>7570</v>
      </c>
      <c r="K10" s="22"/>
      <c r="L10" s="22"/>
      <c r="M10" s="22"/>
      <c r="N10" s="22">
        <v>1100</v>
      </c>
      <c r="O10" s="22"/>
      <c r="P10" s="22"/>
      <c r="Q10" s="22"/>
      <c r="R10" s="22">
        <v>8</v>
      </c>
      <c r="S10" s="22"/>
      <c r="T10" s="22"/>
      <c r="U10" s="22"/>
      <c r="V10" s="22">
        <f>351+28</f>
        <v>379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761</v>
      </c>
      <c r="C11" s="22"/>
      <c r="D11" s="22"/>
      <c r="E11" s="22"/>
      <c r="F11" s="22">
        <v>583</v>
      </c>
      <c r="G11" s="22"/>
      <c r="H11" s="22"/>
      <c r="I11" s="125"/>
      <c r="J11" s="22">
        <v>7570</v>
      </c>
      <c r="K11" s="22"/>
      <c r="L11" s="22"/>
      <c r="M11" s="22"/>
      <c r="N11" s="22">
        <v>1100</v>
      </c>
      <c r="O11" s="22"/>
      <c r="P11" s="22"/>
      <c r="Q11" s="22"/>
      <c r="R11" s="22">
        <v>155</v>
      </c>
      <c r="S11" s="22"/>
      <c r="T11" s="22"/>
      <c r="U11" s="22"/>
      <c r="V11" s="22">
        <f>323+28</f>
        <v>351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840</v>
      </c>
      <c r="C12" s="22"/>
      <c r="D12" s="22"/>
      <c r="E12" s="22"/>
      <c r="F12" s="22">
        <v>725</v>
      </c>
      <c r="G12" s="22"/>
      <c r="H12" s="22"/>
      <c r="I12" s="125"/>
      <c r="J12" s="22">
        <v>7570</v>
      </c>
      <c r="K12" s="22"/>
      <c r="L12" s="22"/>
      <c r="M12" s="22"/>
      <c r="N12" s="22">
        <v>1100</v>
      </c>
      <c r="O12" s="22"/>
      <c r="P12" s="22"/>
      <c r="Q12" s="22"/>
      <c r="R12" s="22">
        <v>160</v>
      </c>
      <c r="S12" s="22"/>
      <c r="T12" s="22"/>
      <c r="U12" s="22"/>
      <c r="V12" s="22">
        <f>325+28</f>
        <v>353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900</v>
      </c>
      <c r="C13" s="22"/>
      <c r="D13" s="22"/>
      <c r="E13" s="22"/>
      <c r="F13" s="22">
        <v>770</v>
      </c>
      <c r="G13" s="22"/>
      <c r="H13" s="22"/>
      <c r="I13" s="125"/>
      <c r="J13" s="22">
        <v>7570</v>
      </c>
      <c r="K13" s="22"/>
      <c r="L13" s="22"/>
      <c r="M13" s="22"/>
      <c r="N13" s="22">
        <v>1100</v>
      </c>
      <c r="O13" s="22"/>
      <c r="P13" s="22"/>
      <c r="Q13" s="22"/>
      <c r="R13" s="22">
        <v>170</v>
      </c>
      <c r="S13" s="22"/>
      <c r="T13" s="22"/>
      <c r="U13" s="22"/>
      <c r="V13" s="22">
        <f>325+28</f>
        <v>353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920</v>
      </c>
      <c r="C14" s="22"/>
      <c r="D14" s="22"/>
      <c r="E14" s="22"/>
      <c r="F14" s="22">
        <v>800</v>
      </c>
      <c r="G14" s="22"/>
      <c r="H14" s="22"/>
      <c r="I14" s="125"/>
      <c r="J14" s="22">
        <v>7570</v>
      </c>
      <c r="K14" s="22"/>
      <c r="L14" s="22"/>
      <c r="M14" s="22"/>
      <c r="N14" s="22">
        <v>1100</v>
      </c>
      <c r="O14" s="22"/>
      <c r="P14" s="22"/>
      <c r="Q14" s="22"/>
      <c r="R14" s="22">
        <v>170</v>
      </c>
      <c r="S14" s="22"/>
      <c r="T14" s="22"/>
      <c r="U14" s="22"/>
      <c r="V14" s="22">
        <f>325+28</f>
        <v>353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977</v>
      </c>
      <c r="C15" s="22"/>
      <c r="D15" s="22"/>
      <c r="E15" s="22"/>
      <c r="F15" s="22">
        <v>792</v>
      </c>
      <c r="G15" s="22"/>
      <c r="H15" s="22"/>
      <c r="I15" s="125"/>
      <c r="J15" s="22">
        <v>7583</v>
      </c>
      <c r="K15" s="22"/>
      <c r="L15" s="22"/>
      <c r="M15" s="22"/>
      <c r="N15" s="22">
        <v>1119</v>
      </c>
      <c r="O15" s="22"/>
      <c r="P15" s="22"/>
      <c r="Q15" s="22"/>
      <c r="R15" s="22">
        <v>172</v>
      </c>
      <c r="S15" s="22"/>
      <c r="T15" s="22"/>
      <c r="U15" s="22"/>
      <c r="V15" s="22">
        <f>330+31</f>
        <v>361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15626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9500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59648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23767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1000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4400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ht="12.6" customHeight="1" x14ac:dyDescent="0.2">
      <c r="A17" s="28" t="s">
        <v>28</v>
      </c>
      <c r="B17" s="30">
        <f>B4+B5</f>
        <v>0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4630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5592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740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7065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8617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1130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9510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11638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1510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11905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14493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1890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9545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5026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14215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17148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165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2250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11228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5830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21785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18248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173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2629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11989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6413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29355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19348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328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2980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12829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7138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36925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20448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488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3333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13729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7908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44495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21548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658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3686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14649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8708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52065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22648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828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4039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15626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9500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59648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23767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1000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4400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" right="0" top="0" bottom="0" header="0" footer="0"/>
  <pageSetup paperSize="9" scale="51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1"/>
  <sheetViews>
    <sheetView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F46" sqref="F46"/>
    </sheetView>
  </sheetViews>
  <sheetFormatPr defaultRowHeight="12.75" x14ac:dyDescent="0.2"/>
  <cols>
    <col min="1" max="1" width="3.85546875" bestFit="1" customWidth="1"/>
    <col min="2" max="2" width="36.5703125" customWidth="1"/>
    <col min="3" max="3" width="14.28515625" bestFit="1" customWidth="1"/>
    <col min="4" max="4" width="12.28515625" hidden="1" customWidth="1"/>
    <col min="5" max="5" width="0" hidden="1" customWidth="1"/>
    <col min="6" max="6" width="14.7109375" bestFit="1" customWidth="1"/>
    <col min="7" max="7" width="12.28515625" bestFit="1" customWidth="1"/>
    <col min="8" max="8" width="12.28515625" hidden="1" customWidth="1"/>
    <col min="9" max="9" width="6.140625" hidden="1" customWidth="1"/>
    <col min="10" max="10" width="15.5703125" bestFit="1" customWidth="1"/>
    <col min="11" max="11" width="19.5703125" bestFit="1" customWidth="1"/>
    <col min="12" max="12" width="11" hidden="1" customWidth="1"/>
    <col min="13" max="13" width="9.7109375" hidden="1" customWidth="1"/>
    <col min="14" max="14" width="12.28515625" bestFit="1" customWidth="1"/>
    <col min="15" max="15" width="14.28515625" bestFit="1" customWidth="1"/>
    <col min="16" max="16" width="12.28515625" hidden="1" customWidth="1"/>
    <col min="17" max="17" width="0" hidden="1" customWidth="1"/>
    <col min="18" max="18" width="13.42578125" bestFit="1" customWidth="1"/>
    <col min="19" max="19" width="14.42578125" bestFit="1" customWidth="1"/>
    <col min="20" max="20" width="12.28515625" hidden="1" customWidth="1"/>
    <col min="21" max="21" width="0" hidden="1" customWidth="1"/>
    <col min="22" max="22" width="14.28515625" bestFit="1" customWidth="1"/>
    <col min="23" max="23" width="12.28515625" bestFit="1" customWidth="1"/>
    <col min="24" max="24" width="11" hidden="1" customWidth="1"/>
    <col min="25" max="25" width="0" hidden="1" customWidth="1"/>
    <col min="26" max="26" width="13.42578125" bestFit="1" customWidth="1"/>
    <col min="27" max="27" width="14.5703125" bestFit="1" customWidth="1"/>
    <col min="28" max="29" width="9.140625" hidden="1" customWidth="1"/>
    <col min="30" max="30" width="13" customWidth="1"/>
  </cols>
  <sheetData>
    <row r="2" spans="1:30" ht="13.5" thickBot="1" x14ac:dyDescent="0.25">
      <c r="E2" t="s">
        <v>187</v>
      </c>
    </row>
    <row r="3" spans="1:30" ht="15.75" x14ac:dyDescent="0.25">
      <c r="A3" s="34"/>
      <c r="B3" s="35"/>
      <c r="C3" s="429" t="s">
        <v>175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1"/>
    </row>
    <row r="4" spans="1:30" ht="15.75" x14ac:dyDescent="0.25">
      <c r="A4" s="393" t="s">
        <v>41</v>
      </c>
      <c r="B4" s="394"/>
      <c r="C4" s="411" t="s">
        <v>20</v>
      </c>
      <c r="D4" s="412"/>
      <c r="E4" s="413"/>
      <c r="F4" s="236"/>
      <c r="G4" s="411" t="s">
        <v>49</v>
      </c>
      <c r="H4" s="412"/>
      <c r="I4" s="413"/>
      <c r="J4" s="236"/>
      <c r="K4" s="411" t="s">
        <v>2</v>
      </c>
      <c r="L4" s="412"/>
      <c r="M4" s="412"/>
      <c r="N4" s="412"/>
      <c r="O4" s="412"/>
      <c r="P4" s="412"/>
      <c r="Q4" s="412"/>
      <c r="R4" s="412"/>
      <c r="S4" s="412"/>
      <c r="T4" s="412"/>
      <c r="U4" s="413"/>
      <c r="V4" s="236"/>
      <c r="W4" s="411" t="s">
        <v>172</v>
      </c>
      <c r="X4" s="412"/>
      <c r="Y4" s="413"/>
      <c r="Z4" s="236"/>
      <c r="AA4" s="411" t="s">
        <v>173</v>
      </c>
      <c r="AB4" s="412"/>
      <c r="AC4" s="413"/>
    </row>
    <row r="5" spans="1:30" ht="16.5" thickBot="1" x14ac:dyDescent="0.3">
      <c r="A5" s="47"/>
      <c r="B5" s="48"/>
      <c r="C5" s="231" t="s">
        <v>50</v>
      </c>
      <c r="D5" s="232" t="s">
        <v>5</v>
      </c>
      <c r="E5" s="231" t="s">
        <v>39</v>
      </c>
      <c r="F5" s="231"/>
      <c r="G5" s="215" t="s">
        <v>50</v>
      </c>
      <c r="H5" s="232" t="s">
        <v>5</v>
      </c>
      <c r="I5" s="215" t="s">
        <v>39</v>
      </c>
      <c r="J5" s="215"/>
      <c r="K5" s="232" t="s">
        <v>177</v>
      </c>
      <c r="L5" s="232" t="s">
        <v>5</v>
      </c>
      <c r="M5" s="232" t="s">
        <v>39</v>
      </c>
      <c r="N5" s="232"/>
      <c r="O5" s="232" t="s">
        <v>53</v>
      </c>
      <c r="P5" s="232" t="s">
        <v>5</v>
      </c>
      <c r="Q5" s="232" t="s">
        <v>39</v>
      </c>
      <c r="R5" s="232"/>
      <c r="S5" s="232" t="s">
        <v>185</v>
      </c>
      <c r="T5" s="232" t="s">
        <v>5</v>
      </c>
      <c r="U5" s="232" t="s">
        <v>39</v>
      </c>
      <c r="V5" s="232"/>
      <c r="W5" s="232" t="s">
        <v>174</v>
      </c>
      <c r="X5" s="232" t="s">
        <v>5</v>
      </c>
      <c r="Y5" s="232" t="s">
        <v>39</v>
      </c>
      <c r="Z5" s="235"/>
      <c r="AA5" s="235" t="s">
        <v>183</v>
      </c>
      <c r="AB5" s="232" t="s">
        <v>5</v>
      </c>
      <c r="AC5" s="234" t="s">
        <v>39</v>
      </c>
    </row>
    <row r="6" spans="1:30" ht="15.75" x14ac:dyDescent="0.25">
      <c r="A6" s="403" t="s">
        <v>124</v>
      </c>
      <c r="B6" s="404"/>
      <c r="C6" s="192">
        <f>SUM(C7:C14)</f>
        <v>324520</v>
      </c>
      <c r="D6" s="192">
        <f>SUM(D7:D14)</f>
        <v>77879.236000000004</v>
      </c>
      <c r="E6" s="233">
        <f>VALUE(D6/C6*100)</f>
        <v>23.998285467767783</v>
      </c>
      <c r="F6" s="192" t="e">
        <f>SUM(F7:F14)</f>
        <v>#REF!</v>
      </c>
      <c r="G6" s="192">
        <f>SUM(G7:G14)</f>
        <v>83495</v>
      </c>
      <c r="H6" s="192">
        <f>SUM(H7:H14)</f>
        <v>14384.27</v>
      </c>
      <c r="I6" s="233">
        <f>VALUE(H6/G6*100)</f>
        <v>17.227702257620216</v>
      </c>
      <c r="J6" s="192" t="e">
        <f>SUM(J7:J14)</f>
        <v>#REF!</v>
      </c>
      <c r="K6" s="192">
        <f>SUM(K7:K14)</f>
        <v>0</v>
      </c>
      <c r="L6" s="192">
        <f>SUM(L7:L14)</f>
        <v>0</v>
      </c>
      <c r="M6" s="233"/>
      <c r="N6" s="192" t="e">
        <f>SUM(N7:N14)</f>
        <v>#REF!</v>
      </c>
      <c r="O6" s="192">
        <f>SUM(O7:O14)</f>
        <v>554287</v>
      </c>
      <c r="P6" s="192">
        <f>SUM(P7:P14)</f>
        <v>38605.601699999999</v>
      </c>
      <c r="Q6" s="233">
        <f>VALUE(P6/O6*100)</f>
        <v>6.9649119860288984</v>
      </c>
      <c r="R6" s="192" t="e">
        <f>SUM(R7:R14)</f>
        <v>#REF!</v>
      </c>
      <c r="S6" s="192">
        <f>SUM(S7:S14)</f>
        <v>48614</v>
      </c>
      <c r="T6" s="192">
        <f>SUM(T7:T14)</f>
        <v>8721.8778000000002</v>
      </c>
      <c r="U6" s="233">
        <f>VALUE(T6/S6*100)</f>
        <v>17.941082404245691</v>
      </c>
      <c r="V6" s="192" t="e">
        <f>SUM(V7:V14)</f>
        <v>#REF!</v>
      </c>
      <c r="W6" s="192">
        <f>SUM(W7:W14)</f>
        <v>100000</v>
      </c>
      <c r="X6" s="192">
        <f>SUM(X7:X14)</f>
        <v>21690</v>
      </c>
      <c r="Y6" s="233">
        <f>VALUE(X6/W6*100)</f>
        <v>21.69</v>
      </c>
      <c r="Z6" s="192" t="e">
        <f>SUM(Z7:Z14)</f>
        <v>#REF!</v>
      </c>
      <c r="AA6" s="192">
        <f>SUM(AA7:AA14)</f>
        <v>0</v>
      </c>
      <c r="AB6" s="192">
        <f>SUM(AB7:AB14)</f>
        <v>0</v>
      </c>
      <c r="AC6" s="233"/>
      <c r="AD6" s="192" t="e">
        <f>SUM(AD7:AD14)</f>
        <v>#REF!</v>
      </c>
    </row>
    <row r="7" spans="1:30" ht="15" x14ac:dyDescent="0.2">
      <c r="A7" s="66">
        <v>1</v>
      </c>
      <c r="B7" s="141" t="s">
        <v>158</v>
      </c>
      <c r="C7" s="222">
        <v>190400</v>
      </c>
      <c r="D7" s="222">
        <f>VALUE(C7*E7/100)</f>
        <v>50532.160000000003</v>
      </c>
      <c r="E7" s="223">
        <v>26.54</v>
      </c>
      <c r="F7" s="222">
        <f>кмс!Y7+МАКС!Y7+сол!Y7</f>
        <v>194000</v>
      </c>
      <c r="G7" s="130"/>
      <c r="H7" s="130">
        <f t="shared" ref="H7:H12" si="0">VALUE(G7*I7/100)</f>
        <v>0</v>
      </c>
      <c r="I7" s="221"/>
      <c r="J7" s="222">
        <f>кмс!AB7+МАКС!AB7+сол!AB7</f>
        <v>0</v>
      </c>
      <c r="K7" s="224"/>
      <c r="L7" s="224">
        <f t="shared" ref="L7:L12" si="1">VALUE(K7*M7/100)</f>
        <v>0</v>
      </c>
      <c r="M7" s="223"/>
      <c r="N7" s="222">
        <f>кмс!AE7+МАКС!AE7+сол!AE7</f>
        <v>0</v>
      </c>
      <c r="O7" s="130">
        <v>84300</v>
      </c>
      <c r="P7" s="130">
        <f t="shared" ref="P7:P12" si="2">VALUE(O7*Q7/100)</f>
        <v>18031.77</v>
      </c>
      <c r="Q7" s="223">
        <v>21.39</v>
      </c>
      <c r="R7" s="222">
        <f>кмс!AH7+МАКС!AH7+сол!AH7</f>
        <v>90000</v>
      </c>
      <c r="S7" s="227"/>
      <c r="T7" s="227">
        <f t="shared" ref="T7:T12" si="3">VALUE(S7*U7/100)</f>
        <v>0</v>
      </c>
      <c r="U7" s="223">
        <v>21.39</v>
      </c>
      <c r="V7" s="222">
        <f>кмс!AK7+МАКС!AK7+сол!AK7</f>
        <v>0</v>
      </c>
      <c r="W7" s="130"/>
      <c r="X7" s="130">
        <f t="shared" ref="X7:X12" si="4">VALUE(W7*Y7/100)</f>
        <v>0</v>
      </c>
      <c r="Y7" s="223">
        <v>21.39</v>
      </c>
      <c r="Z7" s="240">
        <f>сол!AN7+МАКС!AN7+кмс!AN7</f>
        <v>0</v>
      </c>
      <c r="AA7" s="130"/>
      <c r="AB7" s="227">
        <f t="shared" ref="AB7:AB13" si="5">VALUE(AA7*AC7/100)</f>
        <v>0</v>
      </c>
      <c r="AC7" s="223"/>
      <c r="AD7" s="240">
        <f>кмс!AQ7+МАКС!AQ7+сол!AQ7</f>
        <v>0</v>
      </c>
    </row>
    <row r="8" spans="1:30" ht="15" x14ac:dyDescent="0.2">
      <c r="A8" s="66">
        <v>2</v>
      </c>
      <c r="B8" s="141" t="s">
        <v>120</v>
      </c>
      <c r="C8" s="222">
        <v>47360</v>
      </c>
      <c r="D8" s="222">
        <f>VALUE(C8*E8/100)</f>
        <v>5801.6</v>
      </c>
      <c r="E8" s="223">
        <v>12.25</v>
      </c>
      <c r="F8" s="222">
        <f>кмс!Y8+МАКС!Y8+сол!Y8</f>
        <v>49000</v>
      </c>
      <c r="G8" s="130">
        <v>9390</v>
      </c>
      <c r="H8" s="130">
        <f t="shared" si="0"/>
        <v>1764.3810000000001</v>
      </c>
      <c r="I8" s="221">
        <v>18.79</v>
      </c>
      <c r="J8" s="222">
        <f>кмс!AB8+МАКС!AB8+сол!AB8</f>
        <v>10500</v>
      </c>
      <c r="K8" s="224"/>
      <c r="L8" s="224">
        <f t="shared" si="1"/>
        <v>0</v>
      </c>
      <c r="M8" s="223"/>
      <c r="N8" s="222">
        <f>кмс!AE8+МАКС!AE8+сол!AE8</f>
        <v>0</v>
      </c>
      <c r="O8" s="130">
        <v>26537</v>
      </c>
      <c r="P8" s="130">
        <f t="shared" si="2"/>
        <v>5946.9417000000003</v>
      </c>
      <c r="Q8" s="223">
        <v>22.41</v>
      </c>
      <c r="R8" s="222">
        <f>кмс!AH8+МАКС!AH8+сол!AH8</f>
        <v>61300</v>
      </c>
      <c r="S8" s="227">
        <v>18763</v>
      </c>
      <c r="T8" s="227">
        <f t="shared" si="3"/>
        <v>4204.7883000000002</v>
      </c>
      <c r="U8" s="223">
        <v>22.41</v>
      </c>
      <c r="V8" s="222">
        <f>кмс!AK8+МАКС!AK8+сол!AK8</f>
        <v>12000</v>
      </c>
      <c r="W8" s="130"/>
      <c r="X8" s="130">
        <f t="shared" si="4"/>
        <v>0</v>
      </c>
      <c r="Y8" s="223">
        <v>22.41</v>
      </c>
      <c r="Z8" s="240">
        <f>сол!AN8+МАКС!AN8+кмс!AN8</f>
        <v>0</v>
      </c>
      <c r="AA8" s="130"/>
      <c r="AB8" s="227">
        <f t="shared" si="5"/>
        <v>0</v>
      </c>
      <c r="AC8" s="223"/>
      <c r="AD8" s="240">
        <f>кмс!AQ8+МАКС!AQ8+сол!AQ8</f>
        <v>0</v>
      </c>
    </row>
    <row r="9" spans="1:30" ht="15" x14ac:dyDescent="0.2">
      <c r="A9" s="66">
        <v>3</v>
      </c>
      <c r="B9" s="141" t="s">
        <v>119</v>
      </c>
      <c r="C9" s="222">
        <v>36800</v>
      </c>
      <c r="D9" s="222">
        <f>VALUE(C9*E9/100)</f>
        <v>8743.68</v>
      </c>
      <c r="E9" s="223">
        <v>23.76</v>
      </c>
      <c r="F9" s="222">
        <f>кмс!Y9+МАКС!Y9+сол!Y9</f>
        <v>38000</v>
      </c>
      <c r="G9" s="130">
        <v>18705</v>
      </c>
      <c r="H9" s="130">
        <f t="shared" si="0"/>
        <v>3363.1590000000001</v>
      </c>
      <c r="I9" s="221">
        <v>17.98</v>
      </c>
      <c r="J9" s="222">
        <f>кмс!AB9+МАКС!AB9+сол!AB9</f>
        <v>20000</v>
      </c>
      <c r="K9" s="224"/>
      <c r="L9" s="224">
        <f t="shared" si="1"/>
        <v>0</v>
      </c>
      <c r="M9" s="223"/>
      <c r="N9" s="222">
        <f>кмс!AE9+МАКС!AE9+сол!AE9</f>
        <v>0</v>
      </c>
      <c r="O9" s="130">
        <v>3950</v>
      </c>
      <c r="P9" s="130">
        <f t="shared" si="2"/>
        <v>869.79</v>
      </c>
      <c r="Q9" s="223">
        <v>22.02</v>
      </c>
      <c r="R9" s="222">
        <f>кмс!AH9+МАКС!AH9+сол!AH9</f>
        <v>30000</v>
      </c>
      <c r="S9" s="227">
        <v>10760</v>
      </c>
      <c r="T9" s="227">
        <f t="shared" si="3"/>
        <v>2369.3519999999999</v>
      </c>
      <c r="U9" s="223">
        <v>22.02</v>
      </c>
      <c r="V9" s="222">
        <f>кмс!AK9+МАКС!AK9+сол!AK9</f>
        <v>3000</v>
      </c>
      <c r="W9" s="130"/>
      <c r="X9" s="130">
        <f t="shared" si="4"/>
        <v>0</v>
      </c>
      <c r="Y9" s="223">
        <v>22.02</v>
      </c>
      <c r="Z9" s="240">
        <f>сол!AN9+МАКС!AN9+кмс!AN9</f>
        <v>0</v>
      </c>
      <c r="AA9" s="130"/>
      <c r="AB9" s="227">
        <f t="shared" si="5"/>
        <v>0</v>
      </c>
      <c r="AC9" s="223"/>
      <c r="AD9" s="240">
        <f>кмс!AQ9+МАКС!AQ9+сол!AQ9</f>
        <v>0</v>
      </c>
    </row>
    <row r="10" spans="1:30" ht="15" x14ac:dyDescent="0.2">
      <c r="A10" s="66">
        <v>4</v>
      </c>
      <c r="B10" s="205" t="s">
        <v>137</v>
      </c>
      <c r="C10" s="222">
        <v>7360</v>
      </c>
      <c r="D10" s="222">
        <f>VALUE(C10*E10/100)</f>
        <v>1380.7360000000001</v>
      </c>
      <c r="E10" s="223">
        <v>18.760000000000002</v>
      </c>
      <c r="F10" s="222">
        <f>кмс!Y10+МАКС!Y10+сол!Y10</f>
        <v>9000</v>
      </c>
      <c r="G10" s="130">
        <v>8500</v>
      </c>
      <c r="H10" s="130">
        <f t="shared" si="0"/>
        <v>1693.2</v>
      </c>
      <c r="I10" s="221">
        <v>19.920000000000002</v>
      </c>
      <c r="J10" s="222">
        <f>кмс!AB10+МАКС!AB10+сол!AB10</f>
        <v>10000</v>
      </c>
      <c r="K10" s="224"/>
      <c r="L10" s="224">
        <f t="shared" si="1"/>
        <v>0</v>
      </c>
      <c r="M10" s="223"/>
      <c r="N10" s="222">
        <f>кмс!AE10+МАКС!AE10+сол!AE10</f>
        <v>0</v>
      </c>
      <c r="O10" s="130">
        <v>27000</v>
      </c>
      <c r="P10" s="130">
        <f t="shared" si="2"/>
        <v>3037.5</v>
      </c>
      <c r="Q10" s="223">
        <v>11.25</v>
      </c>
      <c r="R10" s="222">
        <f>кмс!AH10+МАКС!AH10+сол!AH10</f>
        <v>73000</v>
      </c>
      <c r="S10" s="227">
        <v>19091</v>
      </c>
      <c r="T10" s="227">
        <f t="shared" si="3"/>
        <v>2147.7375000000002</v>
      </c>
      <c r="U10" s="223">
        <v>11.25</v>
      </c>
      <c r="V10" s="222">
        <f>кмс!AK10+МАКС!AK10+сол!AK10</f>
        <v>13000</v>
      </c>
      <c r="W10" s="130"/>
      <c r="X10" s="130">
        <f t="shared" si="4"/>
        <v>0</v>
      </c>
      <c r="Y10" s="223">
        <v>11.25</v>
      </c>
      <c r="Z10" s="240">
        <f>сол!AN10+МАКС!AN10+кмс!AN10</f>
        <v>0</v>
      </c>
      <c r="AA10" s="130"/>
      <c r="AB10" s="227">
        <f t="shared" si="5"/>
        <v>0</v>
      </c>
      <c r="AC10" s="223"/>
      <c r="AD10" s="240">
        <f>кмс!AQ10+МАКС!AQ10+сол!AQ10</f>
        <v>0</v>
      </c>
    </row>
    <row r="11" spans="1:30" ht="15" x14ac:dyDescent="0.2">
      <c r="A11" s="66">
        <v>5</v>
      </c>
      <c r="B11" s="141" t="s">
        <v>117</v>
      </c>
      <c r="C11" s="222">
        <v>42600</v>
      </c>
      <c r="D11" s="222">
        <f>VALUE(C11*E11/100)</f>
        <v>11421.06</v>
      </c>
      <c r="E11" s="223">
        <v>26.81</v>
      </c>
      <c r="F11" s="243">
        <f>кмс!Y11+МАКС!Y11+сол!Y11</f>
        <v>44000</v>
      </c>
      <c r="G11" s="130">
        <v>18700</v>
      </c>
      <c r="H11" s="130">
        <f t="shared" si="0"/>
        <v>3812.93</v>
      </c>
      <c r="I11" s="221">
        <v>20.39</v>
      </c>
      <c r="J11" s="222">
        <f>кмс!AB11+МАКС!AB11+сол!AB11</f>
        <v>20000</v>
      </c>
      <c r="K11" s="224"/>
      <c r="L11" s="224">
        <f t="shared" si="1"/>
        <v>0</v>
      </c>
      <c r="M11" s="223"/>
      <c r="N11" s="222">
        <f>кмс!AE11+МАКС!AE11+сол!AE11</f>
        <v>0</v>
      </c>
      <c r="O11" s="130">
        <v>44000</v>
      </c>
      <c r="P11" s="130">
        <f t="shared" si="2"/>
        <v>10137.6</v>
      </c>
      <c r="Q11" s="223">
        <v>23.04</v>
      </c>
      <c r="R11" s="222">
        <f>кмс!AH11+МАКС!AH11+сол!AH11</f>
        <v>50000</v>
      </c>
      <c r="S11" s="227"/>
      <c r="T11" s="227">
        <f t="shared" si="3"/>
        <v>0</v>
      </c>
      <c r="U11" s="223">
        <v>23.04</v>
      </c>
      <c r="V11" s="222">
        <f>кмс!AK11+МАКС!AK11+сол!AK11</f>
        <v>1000</v>
      </c>
      <c r="W11" s="130"/>
      <c r="X11" s="130">
        <f t="shared" si="4"/>
        <v>0</v>
      </c>
      <c r="Y11" s="223">
        <v>23.04</v>
      </c>
      <c r="Z11" s="240">
        <f>сол!AN11+МАКС!AN11+кмс!AN11</f>
        <v>0</v>
      </c>
      <c r="AA11" s="130"/>
      <c r="AB11" s="227">
        <f t="shared" si="5"/>
        <v>0</v>
      </c>
      <c r="AC11" s="223"/>
      <c r="AD11" s="240">
        <f>кмс!AQ11+МАКС!AQ11+сол!AQ11</f>
        <v>0</v>
      </c>
    </row>
    <row r="12" spans="1:30" ht="15" x14ac:dyDescent="0.2">
      <c r="A12" s="66">
        <v>6</v>
      </c>
      <c r="B12" s="141" t="s">
        <v>138</v>
      </c>
      <c r="C12" s="222"/>
      <c r="D12" s="222"/>
      <c r="E12" s="223"/>
      <c r="F12" s="222">
        <f>кмс!Y12+МАКС!Y12+сол!Y12</f>
        <v>0</v>
      </c>
      <c r="G12" s="130">
        <v>28200</v>
      </c>
      <c r="H12" s="130">
        <f t="shared" si="0"/>
        <v>3750.6</v>
      </c>
      <c r="I12" s="221">
        <v>13.3</v>
      </c>
      <c r="J12" s="222">
        <f>кмс!AB12+МАКС!AB12+сол!AB12</f>
        <v>26000</v>
      </c>
      <c r="K12" s="224"/>
      <c r="L12" s="224">
        <f t="shared" si="1"/>
        <v>0</v>
      </c>
      <c r="M12" s="223"/>
      <c r="N12" s="222">
        <f>кмс!AE12+МАКС!AE12+сол!AE12</f>
        <v>0</v>
      </c>
      <c r="O12" s="130">
        <v>4000</v>
      </c>
      <c r="P12" s="130">
        <f t="shared" si="2"/>
        <v>582</v>
      </c>
      <c r="Q12" s="223">
        <v>14.55</v>
      </c>
      <c r="R12" s="222">
        <f>кмс!AH12+МАКС!AH12+сол!AH12</f>
        <v>5000</v>
      </c>
      <c r="S12" s="227"/>
      <c r="T12" s="227">
        <f t="shared" si="3"/>
        <v>0</v>
      </c>
      <c r="U12" s="223">
        <v>14.55</v>
      </c>
      <c r="V12" s="222">
        <f>кмс!AK12+МАКС!AK12+сол!AK12</f>
        <v>0</v>
      </c>
      <c r="W12" s="130"/>
      <c r="X12" s="130">
        <f t="shared" si="4"/>
        <v>0</v>
      </c>
      <c r="Y12" s="223">
        <v>14.55</v>
      </c>
      <c r="Z12" s="240">
        <f>сол!AN12+МАКС!AN12+кмс!AN12</f>
        <v>0</v>
      </c>
      <c r="AA12" s="130"/>
      <c r="AB12" s="227">
        <f t="shared" si="5"/>
        <v>0</v>
      </c>
      <c r="AC12" s="223"/>
      <c r="AD12" s="240">
        <f>кмс!AQ12+МАКС!AQ12+сол!AQ12</f>
        <v>0</v>
      </c>
    </row>
    <row r="13" spans="1:30" ht="15" x14ac:dyDescent="0.2">
      <c r="A13" s="66">
        <v>7</v>
      </c>
      <c r="B13" s="141" t="s">
        <v>176</v>
      </c>
      <c r="C13" s="222"/>
      <c r="D13" s="222"/>
      <c r="E13" s="223"/>
      <c r="F13" s="222" t="e">
        <f>кмс!#REF!+МАКС!#REF!+сол!#REF!</f>
        <v>#REF!</v>
      </c>
      <c r="G13" s="130"/>
      <c r="H13" s="130"/>
      <c r="I13" s="221"/>
      <c r="J13" s="222" t="e">
        <f>кмс!#REF!+МАКС!#REF!+сол!#REF!</f>
        <v>#REF!</v>
      </c>
      <c r="K13" s="224"/>
      <c r="L13" s="225"/>
      <c r="M13" s="223"/>
      <c r="N13" s="222" t="e">
        <f>кмс!#REF!+МАКС!#REF!+сол!#REF!</f>
        <v>#REF!</v>
      </c>
      <c r="O13" s="130"/>
      <c r="P13" s="221"/>
      <c r="Q13" s="223"/>
      <c r="R13" s="222" t="e">
        <f>кмс!#REF!+МАКС!#REF!+сол!#REF!</f>
        <v>#REF!</v>
      </c>
      <c r="S13" s="227"/>
      <c r="T13" s="228"/>
      <c r="U13" s="223"/>
      <c r="V13" s="222" t="e">
        <f>кмс!#REF!+МАКС!#REF!+сол!#REF!</f>
        <v>#REF!</v>
      </c>
      <c r="W13" s="130">
        <v>100000</v>
      </c>
      <c r="X13" s="130">
        <f>VALUE(W13*Y13/100)</f>
        <v>21690</v>
      </c>
      <c r="Y13" s="223">
        <v>21.69</v>
      </c>
      <c r="Z13" s="240" t="e">
        <f>сол!#REF!+МАКС!#REF!+кмс!#REF!</f>
        <v>#REF!</v>
      </c>
      <c r="AA13" s="130"/>
      <c r="AB13" s="228">
        <f t="shared" si="5"/>
        <v>0</v>
      </c>
      <c r="AC13" s="223"/>
      <c r="AD13" s="240" t="e">
        <f>кмс!#REF!+МАКС!#REF!+сол!#REF!</f>
        <v>#REF!</v>
      </c>
    </row>
    <row r="14" spans="1:30" ht="15" x14ac:dyDescent="0.2">
      <c r="A14" s="66">
        <v>8</v>
      </c>
      <c r="B14" s="141" t="s">
        <v>118</v>
      </c>
      <c r="C14" s="222"/>
      <c r="D14" s="222"/>
      <c r="E14" s="223"/>
      <c r="F14" s="222">
        <f>кмс!Y13+МАКС!Y13+сол!Y13</f>
        <v>0</v>
      </c>
      <c r="G14" s="130"/>
      <c r="H14" s="130"/>
      <c r="I14" s="221"/>
      <c r="J14" s="222">
        <f>кмс!AB13+МАКС!AB13+сол!AB13</f>
        <v>0</v>
      </c>
      <c r="K14" s="224"/>
      <c r="L14" s="225"/>
      <c r="M14" s="223"/>
      <c r="N14" s="222">
        <f>кмс!AE13+МАКС!AE13+сол!AE13</f>
        <v>0</v>
      </c>
      <c r="O14" s="130">
        <v>364500</v>
      </c>
      <c r="P14" s="221"/>
      <c r="Q14" s="223">
        <v>21.6</v>
      </c>
      <c r="R14" s="222">
        <f>кмс!AH13+МАКС!AH13+сол!AH13</f>
        <v>204000</v>
      </c>
      <c r="S14" s="227"/>
      <c r="T14" s="228"/>
      <c r="U14" s="223">
        <v>21.6</v>
      </c>
      <c r="V14" s="222">
        <f>кмс!AK13+МАКС!AK13+сол!AK13</f>
        <v>43000</v>
      </c>
      <c r="W14" s="130"/>
      <c r="X14" s="130"/>
      <c r="Y14" s="223">
        <v>21.6</v>
      </c>
      <c r="Z14" s="240">
        <f>сол!AN13+МАКС!AN13+кмс!AN13</f>
        <v>0</v>
      </c>
      <c r="AA14" s="130"/>
      <c r="AB14" s="228"/>
      <c r="AC14" s="223"/>
      <c r="AD14" s="240">
        <f>кмс!AQ13+МАКС!AQ13+сол!AQ13</f>
        <v>0</v>
      </c>
    </row>
    <row r="15" spans="1:30" ht="15.75" x14ac:dyDescent="0.25">
      <c r="A15" s="420" t="s">
        <v>123</v>
      </c>
      <c r="B15" s="421"/>
      <c r="C15" s="192">
        <f>SUM(C16:C53)</f>
        <v>930749</v>
      </c>
      <c r="D15" s="192">
        <f>SUM(D16:D53)</f>
        <v>248284.85590000002</v>
      </c>
      <c r="E15" s="233">
        <f>VALUE(D15/C15*100)</f>
        <v>26.675812265175686</v>
      </c>
      <c r="F15" s="192" t="e">
        <f>SUM(F16:F53)</f>
        <v>#REF!</v>
      </c>
      <c r="G15" s="192">
        <f>SUM(G16:G53)</f>
        <v>361102</v>
      </c>
      <c r="H15" s="192">
        <f>SUM(H16:H53)</f>
        <v>100534.19780000004</v>
      </c>
      <c r="I15" s="233">
        <v>26.03</v>
      </c>
      <c r="J15" s="192" t="e">
        <f>SUM(J16:J53)</f>
        <v>#REF!</v>
      </c>
      <c r="K15" s="192">
        <f>SUM(K16:K53)</f>
        <v>239643</v>
      </c>
      <c r="L15" s="192">
        <f>SUM(L16:L53)</f>
        <v>0</v>
      </c>
      <c r="M15" s="233">
        <f>VALUE(L15/K15*100)</f>
        <v>0</v>
      </c>
      <c r="N15" s="192" t="e">
        <f>SUM(N16:N53)</f>
        <v>#REF!</v>
      </c>
      <c r="O15" s="192">
        <f>SUM(O16:O53)</f>
        <v>1351447</v>
      </c>
      <c r="P15" s="192">
        <f>SUM(P16:P53)</f>
        <v>325861.71580000006</v>
      </c>
      <c r="Q15" s="233">
        <f>VALUE(P15/O15*100)</f>
        <v>24.112060317570727</v>
      </c>
      <c r="R15" s="192" t="e">
        <f>SUM(R16:R53)</f>
        <v>#REF!</v>
      </c>
      <c r="S15" s="192">
        <f>SUM(S16:S53)</f>
        <v>1191529</v>
      </c>
      <c r="T15" s="192">
        <f>SUM(T16:T53)</f>
        <v>316310.65399999998</v>
      </c>
      <c r="U15" s="233">
        <f>VALUE(T15/S15*100)</f>
        <v>26.546618168756275</v>
      </c>
      <c r="V15" s="192" t="e">
        <f>SUM(V16:V53)</f>
        <v>#REF!</v>
      </c>
      <c r="W15" s="192">
        <f>SUM(W16:W53)</f>
        <v>111740</v>
      </c>
      <c r="X15" s="192">
        <f>SUM(X16:X53)</f>
        <v>34705.377000000008</v>
      </c>
      <c r="Y15" s="233">
        <f>VALUE(X15/W15*100)</f>
        <v>31.059045104707362</v>
      </c>
      <c r="Z15" s="192" t="e">
        <f>SUM(Z16:Z53)</f>
        <v>#REF!</v>
      </c>
      <c r="AA15" s="192">
        <f>SUM(AA16:AA53)</f>
        <v>19172</v>
      </c>
      <c r="AB15" s="192">
        <f>SUM(AB16:AB53)</f>
        <v>4811.3528000000006</v>
      </c>
      <c r="AC15" s="233">
        <f>VALUE(AB15/AA15*100)</f>
        <v>25.09572710202379</v>
      </c>
      <c r="AD15" s="192" t="e">
        <f>SUM(AD16:AD53)</f>
        <v>#REF!</v>
      </c>
    </row>
    <row r="16" spans="1:30" ht="15" x14ac:dyDescent="0.2">
      <c r="A16" s="140">
        <v>9</v>
      </c>
      <c r="B16" s="63" t="s">
        <v>139</v>
      </c>
      <c r="C16" s="222">
        <v>3807</v>
      </c>
      <c r="D16" s="222">
        <f t="shared" ref="D16:D53" si="6">VALUE(C16*E16/100)</f>
        <v>3129.7346999999995</v>
      </c>
      <c r="E16" s="223">
        <v>82.21</v>
      </c>
      <c r="F16" s="222">
        <f>кмс!Y17+МАКС!Y17+сол!Y17</f>
        <v>5000</v>
      </c>
      <c r="G16" s="130">
        <v>5000</v>
      </c>
      <c r="H16" s="130">
        <f t="shared" ref="H16:H53" si="7">VALUE(G16*I16/100)</f>
        <v>4014</v>
      </c>
      <c r="I16" s="221">
        <v>80.28</v>
      </c>
      <c r="J16" s="222">
        <f>кмс!AB17+МАКС!AB17+сол!AB17</f>
        <v>5000</v>
      </c>
      <c r="K16" s="224">
        <v>2390</v>
      </c>
      <c r="L16" s="224">
        <f t="shared" ref="L16:L53" si="8">VALUE(K16*M16/100)</f>
        <v>0</v>
      </c>
      <c r="M16" s="223"/>
      <c r="N16" s="222">
        <f>кмс!AE17+МАКС!AE17+сол!AE17</f>
        <v>2000</v>
      </c>
      <c r="O16" s="130">
        <v>10786</v>
      </c>
      <c r="P16" s="130">
        <f t="shared" ref="P16:P53" si="9">VALUE(O16*Q16/100)</f>
        <v>8750.6817999999985</v>
      </c>
      <c r="Q16" s="223">
        <v>81.13</v>
      </c>
      <c r="R16" s="222">
        <f>кмс!AH17+МАКС!AH17+сол!AH17</f>
        <v>35000</v>
      </c>
      <c r="S16" s="227">
        <v>12992</v>
      </c>
      <c r="T16" s="227">
        <f t="shared" ref="T16:T53" si="10">VALUE(S16*U16/100)</f>
        <v>10540.409599999999</v>
      </c>
      <c r="U16" s="223">
        <v>81.13</v>
      </c>
      <c r="V16" s="222">
        <f>кмс!AK17+МАКС!AK17+сол!AK17</f>
        <v>11000</v>
      </c>
      <c r="W16" s="130">
        <v>2190</v>
      </c>
      <c r="X16" s="130">
        <f t="shared" ref="X16:X52" si="11">VALUE(W16*Y16/100)</f>
        <v>1776.7469999999998</v>
      </c>
      <c r="Y16" s="223">
        <v>81.13</v>
      </c>
      <c r="Z16" s="240">
        <f>сол!AN17+МАКС!AN17+кмс!AN17</f>
        <v>2300</v>
      </c>
      <c r="AA16" s="130"/>
      <c r="AB16" s="227">
        <f t="shared" ref="AB16:AB53" si="12">VALUE(AA16*AC16/100)</f>
        <v>0</v>
      </c>
      <c r="AC16" s="223">
        <v>81.13</v>
      </c>
      <c r="AD16" s="240">
        <f>кмс!AQ17+МАКС!AQ17+сол!AQ17</f>
        <v>0</v>
      </c>
    </row>
    <row r="17" spans="1:30" ht="15" x14ac:dyDescent="0.2">
      <c r="A17" s="66">
        <v>10</v>
      </c>
      <c r="B17" s="67" t="s">
        <v>140</v>
      </c>
      <c r="C17" s="222">
        <v>33660</v>
      </c>
      <c r="D17" s="222">
        <f t="shared" si="6"/>
        <v>323.13599999999997</v>
      </c>
      <c r="E17" s="223">
        <v>0.96</v>
      </c>
      <c r="F17" s="222">
        <f>кмс!Y18+МАКС!Y18+сол!Y18</f>
        <v>36000</v>
      </c>
      <c r="G17" s="130">
        <v>10000</v>
      </c>
      <c r="H17" s="130">
        <f t="shared" si="7"/>
        <v>46</v>
      </c>
      <c r="I17" s="221">
        <v>0.46</v>
      </c>
      <c r="J17" s="222">
        <f>кмс!AB18+МАКС!AB18+сол!AB18</f>
        <v>10000</v>
      </c>
      <c r="K17" s="224">
        <v>8742</v>
      </c>
      <c r="L17" s="224">
        <f t="shared" si="8"/>
        <v>0</v>
      </c>
      <c r="M17" s="223"/>
      <c r="N17" s="222">
        <f>кмс!AE18+МАКС!AE18+сол!AE18</f>
        <v>6000</v>
      </c>
      <c r="O17" s="130">
        <v>47307</v>
      </c>
      <c r="P17" s="130">
        <f t="shared" si="9"/>
        <v>397.37879999999996</v>
      </c>
      <c r="Q17" s="223">
        <v>0.84</v>
      </c>
      <c r="R17" s="222">
        <f>кмс!AH18+МАКС!AH18+сол!AH18</f>
        <v>133000</v>
      </c>
      <c r="S17" s="227">
        <v>56985</v>
      </c>
      <c r="T17" s="227">
        <f t="shared" si="10"/>
        <v>478.67400000000004</v>
      </c>
      <c r="U17" s="223">
        <v>0.84</v>
      </c>
      <c r="V17" s="222">
        <f>кмс!AK18+МАКС!AK18+сол!AK18</f>
        <v>24000</v>
      </c>
      <c r="W17" s="130">
        <v>11800</v>
      </c>
      <c r="X17" s="130">
        <f t="shared" si="11"/>
        <v>99.12</v>
      </c>
      <c r="Y17" s="223">
        <v>0.84</v>
      </c>
      <c r="Z17" s="240">
        <f>сол!AN18+МАКС!AN18+кмс!AN18</f>
        <v>11300</v>
      </c>
      <c r="AA17" s="130"/>
      <c r="AB17" s="227">
        <f t="shared" si="12"/>
        <v>0</v>
      </c>
      <c r="AC17" s="223">
        <v>0.84</v>
      </c>
      <c r="AD17" s="240">
        <f>кмс!AQ18+МАКС!AQ18+сол!AQ18</f>
        <v>0</v>
      </c>
    </row>
    <row r="18" spans="1:30" ht="15" x14ac:dyDescent="0.2">
      <c r="A18" s="66">
        <v>11</v>
      </c>
      <c r="B18" s="67" t="s">
        <v>56</v>
      </c>
      <c r="C18" s="222"/>
      <c r="D18" s="222">
        <f t="shared" si="6"/>
        <v>0</v>
      </c>
      <c r="E18" s="223"/>
      <c r="F18" s="222">
        <f>кмс!Y19+МАКС!Y19+сол!Y19</f>
        <v>0</v>
      </c>
      <c r="G18" s="130">
        <v>8500</v>
      </c>
      <c r="H18" s="130">
        <f t="shared" si="7"/>
        <v>28.05</v>
      </c>
      <c r="I18" s="221">
        <v>0.33</v>
      </c>
      <c r="J18" s="222">
        <f>кмс!AB19+МАКС!AB19+сол!AB19</f>
        <v>7000</v>
      </c>
      <c r="K18" s="224">
        <v>3995</v>
      </c>
      <c r="L18" s="224">
        <f t="shared" si="8"/>
        <v>0</v>
      </c>
      <c r="M18" s="223"/>
      <c r="N18" s="222">
        <f>кмс!AE19+МАКС!AE19+сол!AE19</f>
        <v>2000</v>
      </c>
      <c r="O18" s="130">
        <v>12938</v>
      </c>
      <c r="P18" s="130">
        <f t="shared" si="9"/>
        <v>62.102399999999996</v>
      </c>
      <c r="Q18" s="223">
        <v>0.48</v>
      </c>
      <c r="R18" s="222">
        <f>кмс!AH19+МАКС!AH19+сол!AH19</f>
        <v>41000</v>
      </c>
      <c r="S18" s="227">
        <v>15585</v>
      </c>
      <c r="T18" s="227">
        <f t="shared" si="10"/>
        <v>74.807999999999993</v>
      </c>
      <c r="U18" s="223">
        <v>0.48</v>
      </c>
      <c r="V18" s="222">
        <f>кмс!AK19+МАКС!AK19+сол!AK19</f>
        <v>10000</v>
      </c>
      <c r="W18" s="130"/>
      <c r="X18" s="130">
        <f t="shared" si="11"/>
        <v>0</v>
      </c>
      <c r="Y18" s="223">
        <v>0.48</v>
      </c>
      <c r="Z18" s="240">
        <f>сол!AN19+МАКС!AN19+кмс!AN19</f>
        <v>0</v>
      </c>
      <c r="AA18" s="130"/>
      <c r="AB18" s="227">
        <f t="shared" si="12"/>
        <v>0</v>
      </c>
      <c r="AC18" s="223">
        <v>0.48</v>
      </c>
      <c r="AD18" s="240">
        <f>кмс!AQ19+МАКС!AQ19+сол!AQ19</f>
        <v>0</v>
      </c>
    </row>
    <row r="19" spans="1:30" ht="15" x14ac:dyDescent="0.2">
      <c r="A19" s="66">
        <v>12</v>
      </c>
      <c r="B19" s="67" t="s">
        <v>141</v>
      </c>
      <c r="C19" s="222">
        <v>60200</v>
      </c>
      <c r="D19" s="222">
        <f t="shared" si="6"/>
        <v>37516.639999999999</v>
      </c>
      <c r="E19" s="223">
        <v>62.32</v>
      </c>
      <c r="F19" s="222">
        <f>кмс!Y20+МАКС!Y20+сол!Y20</f>
        <v>65000</v>
      </c>
      <c r="G19" s="130">
        <v>8500</v>
      </c>
      <c r="H19" s="130">
        <f t="shared" si="7"/>
        <v>5392.4</v>
      </c>
      <c r="I19" s="221">
        <v>63.44</v>
      </c>
      <c r="J19" s="222">
        <f>кмс!AB20+МАКС!AB20+сол!AB20</f>
        <v>11000</v>
      </c>
      <c r="K19" s="224">
        <v>5893</v>
      </c>
      <c r="L19" s="224">
        <f t="shared" si="8"/>
        <v>0</v>
      </c>
      <c r="M19" s="223"/>
      <c r="N19" s="222">
        <f>кмс!AE20+МАКС!AE20+сол!AE20</f>
        <v>10000</v>
      </c>
      <c r="O19" s="130">
        <v>50755</v>
      </c>
      <c r="P19" s="130">
        <f t="shared" si="9"/>
        <v>31102.664000000001</v>
      </c>
      <c r="Q19" s="223">
        <v>61.28</v>
      </c>
      <c r="R19" s="222">
        <f>кмс!AH20+МАКС!AH20+сол!AH20</f>
        <v>162000</v>
      </c>
      <c r="S19" s="227">
        <v>61892</v>
      </c>
      <c r="T19" s="227">
        <f t="shared" si="10"/>
        <v>37927.417600000001</v>
      </c>
      <c r="U19" s="223">
        <v>61.28</v>
      </c>
      <c r="V19" s="222">
        <f>кмс!AK20+МАКС!AK20+сол!AK20</f>
        <v>41000</v>
      </c>
      <c r="W19" s="130">
        <v>8200</v>
      </c>
      <c r="X19" s="130">
        <f t="shared" si="11"/>
        <v>5024.96</v>
      </c>
      <c r="Y19" s="223">
        <v>61.28</v>
      </c>
      <c r="Z19" s="240">
        <f>сол!AN20+МАКС!AN20+кмс!AN20</f>
        <v>8500</v>
      </c>
      <c r="AA19" s="130">
        <v>2190</v>
      </c>
      <c r="AB19" s="227">
        <f t="shared" si="12"/>
        <v>1342.0320000000002</v>
      </c>
      <c r="AC19" s="223">
        <v>61.28</v>
      </c>
      <c r="AD19" s="240">
        <f>кмс!AQ20+МАКС!AQ20+сол!AQ20</f>
        <v>479</v>
      </c>
    </row>
    <row r="20" spans="1:30" ht="15" x14ac:dyDescent="0.2">
      <c r="A20" s="66">
        <v>13</v>
      </c>
      <c r="B20" s="239" t="s">
        <v>57</v>
      </c>
      <c r="C20" s="222">
        <v>900</v>
      </c>
      <c r="D20" s="222">
        <f t="shared" si="6"/>
        <v>627.92999999999995</v>
      </c>
      <c r="E20" s="223">
        <v>69.77</v>
      </c>
      <c r="F20" s="222">
        <f>кмс!Y21+МАКС!Y21+сол!Y21</f>
        <v>535</v>
      </c>
      <c r="G20" s="130">
        <v>5000</v>
      </c>
      <c r="H20" s="130">
        <f t="shared" si="7"/>
        <v>4206.5</v>
      </c>
      <c r="I20" s="221">
        <v>84.13</v>
      </c>
      <c r="J20" s="222">
        <f>кмс!AB21+МАКС!AB21+сол!AB21</f>
        <v>3954</v>
      </c>
      <c r="K20" s="224">
        <v>2925</v>
      </c>
      <c r="L20" s="224">
        <f t="shared" si="8"/>
        <v>0</v>
      </c>
      <c r="M20" s="223"/>
      <c r="N20" s="222">
        <f>кмс!AE21+МАКС!AE21+сол!AE21</f>
        <v>66</v>
      </c>
      <c r="O20" s="130">
        <v>4135</v>
      </c>
      <c r="P20" s="130">
        <f t="shared" si="9"/>
        <v>3129.7814999999996</v>
      </c>
      <c r="Q20" s="223">
        <v>75.69</v>
      </c>
      <c r="R20" s="222">
        <f>кмс!AH21+МАКС!AH21+сол!AH21</f>
        <v>9398</v>
      </c>
      <c r="S20" s="227">
        <v>9080</v>
      </c>
      <c r="T20" s="227">
        <f t="shared" si="10"/>
        <v>6872.6519999999991</v>
      </c>
      <c r="U20" s="223">
        <v>75.69</v>
      </c>
      <c r="V20" s="222">
        <f>кмс!AK21+МАКС!AK21+сол!AK21</f>
        <v>3141</v>
      </c>
      <c r="W20" s="130"/>
      <c r="X20" s="130">
        <f t="shared" si="11"/>
        <v>0</v>
      </c>
      <c r="Y20" s="223">
        <v>75.69</v>
      </c>
      <c r="Z20" s="240">
        <f>сол!AN21+МАКС!AN21+кмс!AN21</f>
        <v>0</v>
      </c>
      <c r="AA20" s="130"/>
      <c r="AB20" s="227">
        <f t="shared" si="12"/>
        <v>0</v>
      </c>
      <c r="AC20" s="223">
        <v>75.69</v>
      </c>
      <c r="AD20" s="240">
        <f>кмс!AQ21+МАКС!AQ21+сол!AQ21</f>
        <v>0</v>
      </c>
    </row>
    <row r="21" spans="1:30" ht="15" x14ac:dyDescent="0.2">
      <c r="A21" s="66">
        <v>14</v>
      </c>
      <c r="B21" s="67" t="s">
        <v>58</v>
      </c>
      <c r="C21" s="222">
        <v>3861</v>
      </c>
      <c r="D21" s="222">
        <f t="shared" si="6"/>
        <v>2691.8891999999996</v>
      </c>
      <c r="E21" s="223">
        <v>69.72</v>
      </c>
      <c r="F21" s="222">
        <f>кмс!Y22+МАКС!Y22+сол!Y22</f>
        <v>5100</v>
      </c>
      <c r="G21" s="130">
        <v>4500</v>
      </c>
      <c r="H21" s="130">
        <f t="shared" si="7"/>
        <v>3426.3</v>
      </c>
      <c r="I21" s="221">
        <v>76.14</v>
      </c>
      <c r="J21" s="222">
        <f>кмс!AB22+МАКС!AB22+сол!AB22</f>
        <v>4000</v>
      </c>
      <c r="K21" s="224">
        <v>2160</v>
      </c>
      <c r="L21" s="224">
        <f t="shared" si="8"/>
        <v>0</v>
      </c>
      <c r="M21" s="223"/>
      <c r="N21" s="222">
        <f>кмс!AE22+МАКС!AE22+сол!AE22</f>
        <v>3000</v>
      </c>
      <c r="O21" s="130">
        <v>13145</v>
      </c>
      <c r="P21" s="130">
        <f t="shared" si="9"/>
        <v>10058.553999999998</v>
      </c>
      <c r="Q21" s="223">
        <v>76.52</v>
      </c>
      <c r="R21" s="222">
        <f>кмс!AH22+МАКС!AH22+сол!AH22</f>
        <v>33000</v>
      </c>
      <c r="S21" s="227">
        <v>15835</v>
      </c>
      <c r="T21" s="227">
        <f t="shared" si="10"/>
        <v>12116.941999999999</v>
      </c>
      <c r="U21" s="223">
        <v>76.52</v>
      </c>
      <c r="V21" s="222">
        <f>кмс!AK22+МАКС!AK22+сол!AK22</f>
        <v>12000</v>
      </c>
      <c r="W21" s="130">
        <v>2000</v>
      </c>
      <c r="X21" s="130">
        <f t="shared" si="11"/>
        <v>1530.4</v>
      </c>
      <c r="Y21" s="223">
        <v>76.52</v>
      </c>
      <c r="Z21" s="240">
        <f>сол!AN22+МАКС!AN22+кмс!AN22</f>
        <v>2100</v>
      </c>
      <c r="AA21" s="130"/>
      <c r="AB21" s="227">
        <f t="shared" si="12"/>
        <v>0</v>
      </c>
      <c r="AC21" s="223">
        <v>76.52</v>
      </c>
      <c r="AD21" s="240">
        <f>кмс!AQ22+МАКС!AQ22+сол!AQ22</f>
        <v>0</v>
      </c>
    </row>
    <row r="22" spans="1:30" ht="15" x14ac:dyDescent="0.2">
      <c r="A22" s="66">
        <v>15</v>
      </c>
      <c r="B22" s="67" t="s">
        <v>142</v>
      </c>
      <c r="C22" s="222">
        <v>3744</v>
      </c>
      <c r="D22" s="222">
        <f t="shared" si="6"/>
        <v>2061.0719999999997</v>
      </c>
      <c r="E22" s="223">
        <v>55.05</v>
      </c>
      <c r="F22" s="243">
        <f>кмс!Y23+МАКС!Y23+сол!Y23</f>
        <v>4100</v>
      </c>
      <c r="G22" s="130">
        <v>5000</v>
      </c>
      <c r="H22" s="130">
        <f t="shared" si="7"/>
        <v>3228</v>
      </c>
      <c r="I22" s="221">
        <v>64.56</v>
      </c>
      <c r="J22" s="222">
        <f>кмс!AB23+МАКС!AB23+сол!AB23</f>
        <v>5000</v>
      </c>
      <c r="K22" s="224">
        <v>3460</v>
      </c>
      <c r="L22" s="224">
        <f t="shared" si="8"/>
        <v>0</v>
      </c>
      <c r="M22" s="223"/>
      <c r="N22" s="222">
        <f>кмс!AE23+МАКС!AE23+сол!AE23</f>
        <v>3000</v>
      </c>
      <c r="O22" s="130">
        <v>12932</v>
      </c>
      <c r="P22" s="130">
        <f t="shared" si="9"/>
        <v>7916.9704000000002</v>
      </c>
      <c r="Q22" s="223">
        <v>61.22</v>
      </c>
      <c r="R22" s="222">
        <f>кмс!AH23+МАКС!AH23+сол!AH23</f>
        <v>40000</v>
      </c>
      <c r="S22" s="227">
        <v>15038</v>
      </c>
      <c r="T22" s="227">
        <f t="shared" si="10"/>
        <v>9206.2636000000002</v>
      </c>
      <c r="U22" s="223">
        <v>61.22</v>
      </c>
      <c r="V22" s="222">
        <f>кмс!AK23+МАКС!AK23+сол!AK23</f>
        <v>9000</v>
      </c>
      <c r="W22" s="130">
        <v>3100</v>
      </c>
      <c r="X22" s="130">
        <f t="shared" si="11"/>
        <v>1897.82</v>
      </c>
      <c r="Y22" s="223">
        <v>61.22</v>
      </c>
      <c r="Z22" s="240">
        <f>сол!AN23+МАКС!AN23+кмс!AN23</f>
        <v>2600</v>
      </c>
      <c r="AA22" s="130"/>
      <c r="AB22" s="227">
        <f t="shared" si="12"/>
        <v>0</v>
      </c>
      <c r="AC22" s="223">
        <v>61.22</v>
      </c>
      <c r="AD22" s="240">
        <f>кмс!AQ23+МАКС!AQ23+сол!AQ23</f>
        <v>0</v>
      </c>
    </row>
    <row r="23" spans="1:30" ht="15" x14ac:dyDescent="0.2">
      <c r="A23" s="66">
        <v>16</v>
      </c>
      <c r="B23" s="67" t="s">
        <v>60</v>
      </c>
      <c r="C23" s="222">
        <v>6912</v>
      </c>
      <c r="D23" s="222">
        <f t="shared" si="6"/>
        <v>2397.7727999999997</v>
      </c>
      <c r="E23" s="223">
        <v>34.69</v>
      </c>
      <c r="F23" s="222">
        <f>кмс!Y24+МАКС!Y24+сол!Y24</f>
        <v>7100</v>
      </c>
      <c r="G23" s="130">
        <v>4000</v>
      </c>
      <c r="H23" s="130">
        <f t="shared" si="7"/>
        <v>1622.8</v>
      </c>
      <c r="I23" s="221">
        <v>40.57</v>
      </c>
      <c r="J23" s="222">
        <f>кмс!AB24+МАКС!AB24+сол!AB24</f>
        <v>3000</v>
      </c>
      <c r="K23" s="224">
        <v>3850</v>
      </c>
      <c r="L23" s="224">
        <f t="shared" si="8"/>
        <v>0</v>
      </c>
      <c r="M23" s="223"/>
      <c r="N23" s="222">
        <f>кмс!AE24+МАКС!AE24+сол!AE24</f>
        <v>3000</v>
      </c>
      <c r="O23" s="130">
        <v>18693</v>
      </c>
      <c r="P23" s="130">
        <f t="shared" si="9"/>
        <v>6561.2430000000004</v>
      </c>
      <c r="Q23" s="223">
        <v>35.1</v>
      </c>
      <c r="R23" s="222">
        <f>кмс!AH24+МАКС!AH24+сол!AH24</f>
        <v>61000</v>
      </c>
      <c r="S23" s="227">
        <v>22517</v>
      </c>
      <c r="T23" s="227">
        <f t="shared" si="10"/>
        <v>7903.4670000000006</v>
      </c>
      <c r="U23" s="223">
        <v>35.1</v>
      </c>
      <c r="V23" s="222">
        <f>кмс!AK24+МАКС!AK24+сол!AK24</f>
        <v>10000</v>
      </c>
      <c r="W23" s="130">
        <v>3530</v>
      </c>
      <c r="X23" s="130">
        <f t="shared" si="11"/>
        <v>1239.03</v>
      </c>
      <c r="Y23" s="223">
        <v>35.1</v>
      </c>
      <c r="Z23" s="240">
        <f>сол!AN24+МАКС!AN24+кмс!AN24</f>
        <v>3000</v>
      </c>
      <c r="AA23" s="130"/>
      <c r="AB23" s="227">
        <f t="shared" si="12"/>
        <v>0</v>
      </c>
      <c r="AC23" s="223">
        <v>35.1</v>
      </c>
      <c r="AD23" s="240">
        <f>кмс!AQ24+МАКС!AQ24+сол!AQ24</f>
        <v>0</v>
      </c>
    </row>
    <row r="24" spans="1:30" ht="15" x14ac:dyDescent="0.2">
      <c r="A24" s="66">
        <v>17</v>
      </c>
      <c r="B24" s="67" t="s">
        <v>143</v>
      </c>
      <c r="C24" s="222">
        <v>4896</v>
      </c>
      <c r="D24" s="222">
        <f t="shared" si="6"/>
        <v>2726.5823999999998</v>
      </c>
      <c r="E24" s="223">
        <v>55.69</v>
      </c>
      <c r="F24" s="222">
        <f>кмс!Y27+МАКС!Y27+сол!Y27</f>
        <v>6000</v>
      </c>
      <c r="G24" s="130">
        <v>5250</v>
      </c>
      <c r="H24" s="130">
        <f t="shared" si="7"/>
        <v>2691.15</v>
      </c>
      <c r="I24" s="221">
        <v>51.26</v>
      </c>
      <c r="J24" s="222">
        <f>кмс!AB27+МАКС!AB27+сол!AB27</f>
        <v>6000</v>
      </c>
      <c r="K24" s="224">
        <v>2807</v>
      </c>
      <c r="L24" s="224">
        <f t="shared" si="8"/>
        <v>0</v>
      </c>
      <c r="M24" s="223"/>
      <c r="N24" s="222">
        <f>кмс!AE27+МАКС!AE27+сол!AE27</f>
        <v>4000</v>
      </c>
      <c r="O24" s="130">
        <v>12941</v>
      </c>
      <c r="P24" s="130">
        <f t="shared" si="9"/>
        <v>6760.3784000000005</v>
      </c>
      <c r="Q24" s="223">
        <v>52.24</v>
      </c>
      <c r="R24" s="222">
        <f>кмс!AH27+МАКС!AH27+сол!AH27</f>
        <v>30000</v>
      </c>
      <c r="S24" s="227">
        <v>15589</v>
      </c>
      <c r="T24" s="227">
        <f t="shared" si="10"/>
        <v>8143.6935999999996</v>
      </c>
      <c r="U24" s="223">
        <v>52.24</v>
      </c>
      <c r="V24" s="222">
        <f>кмс!AK27+МАКС!AK27+сол!AK27</f>
        <v>10000</v>
      </c>
      <c r="W24" s="130">
        <v>2570</v>
      </c>
      <c r="X24" s="130">
        <f t="shared" si="11"/>
        <v>1342.5680000000002</v>
      </c>
      <c r="Y24" s="223">
        <v>52.24</v>
      </c>
      <c r="Z24" s="240">
        <f>сол!AN27+МАКС!AN27+кмс!AN27</f>
        <v>2300</v>
      </c>
      <c r="AA24" s="130"/>
      <c r="AB24" s="227">
        <f t="shared" si="12"/>
        <v>0</v>
      </c>
      <c r="AC24" s="223">
        <v>52.24</v>
      </c>
      <c r="AD24" s="240">
        <f>кмс!AQ27+МАКС!AQ27+сол!AQ27</f>
        <v>0</v>
      </c>
    </row>
    <row r="25" spans="1:30" ht="15" x14ac:dyDescent="0.2">
      <c r="A25" s="66">
        <v>18</v>
      </c>
      <c r="B25" s="67" t="s">
        <v>144</v>
      </c>
      <c r="C25" s="222">
        <v>3300</v>
      </c>
      <c r="D25" s="222">
        <f t="shared" si="6"/>
        <v>43.23</v>
      </c>
      <c r="E25" s="223">
        <v>1.31</v>
      </c>
      <c r="F25" s="222">
        <f>кмс!Y28+МАКС!Y28+сол!Y28</f>
        <v>3000</v>
      </c>
      <c r="G25" s="130">
        <v>4750</v>
      </c>
      <c r="H25" s="130">
        <f t="shared" si="7"/>
        <v>85.974999999999994</v>
      </c>
      <c r="I25" s="221">
        <v>1.81</v>
      </c>
      <c r="J25" s="222">
        <f>кмс!AB28+МАКС!AB28+сол!AB28</f>
        <v>2000</v>
      </c>
      <c r="K25" s="224">
        <v>2183</v>
      </c>
      <c r="L25" s="224">
        <f t="shared" si="8"/>
        <v>0</v>
      </c>
      <c r="M25" s="223"/>
      <c r="N25" s="222">
        <f>кмс!AE28+МАКС!AE28+сол!AE28</f>
        <v>1500</v>
      </c>
      <c r="O25" s="130">
        <v>8040</v>
      </c>
      <c r="P25" s="130">
        <f t="shared" si="9"/>
        <v>71.555999999999997</v>
      </c>
      <c r="Q25" s="223">
        <v>0.89</v>
      </c>
      <c r="R25" s="222">
        <f>кмс!AH28+МАКС!AH28+сол!AH28</f>
        <v>18000</v>
      </c>
      <c r="S25" s="227">
        <v>9685</v>
      </c>
      <c r="T25" s="227">
        <f t="shared" si="10"/>
        <v>86.1965</v>
      </c>
      <c r="U25" s="223">
        <v>0.89</v>
      </c>
      <c r="V25" s="222">
        <f>кмс!AK28+МАКС!AK28+сол!AK28</f>
        <v>4000</v>
      </c>
      <c r="W25" s="130">
        <v>2000</v>
      </c>
      <c r="X25" s="130">
        <f t="shared" si="11"/>
        <v>17.8</v>
      </c>
      <c r="Y25" s="223">
        <v>0.89</v>
      </c>
      <c r="Z25" s="240">
        <f>сол!AN28+МАКС!AN28+кмс!AN28</f>
        <v>2700</v>
      </c>
      <c r="AA25" s="130"/>
      <c r="AB25" s="227">
        <f t="shared" si="12"/>
        <v>0</v>
      </c>
      <c r="AC25" s="223">
        <v>0.89</v>
      </c>
      <c r="AD25" s="240">
        <f>кмс!AQ28+МАКС!AQ28+сол!AQ28</f>
        <v>0</v>
      </c>
    </row>
    <row r="26" spans="1:30" ht="15" x14ac:dyDescent="0.2">
      <c r="A26" s="66">
        <v>19</v>
      </c>
      <c r="B26" s="67" t="s">
        <v>145</v>
      </c>
      <c r="C26" s="222">
        <v>9800</v>
      </c>
      <c r="D26" s="222">
        <f t="shared" si="6"/>
        <v>3549.56</v>
      </c>
      <c r="E26" s="223">
        <v>36.22</v>
      </c>
      <c r="F26" s="222">
        <f>кмс!Y29+МАКС!Y29+сол!Y29</f>
        <v>12000</v>
      </c>
      <c r="G26" s="130">
        <v>13000</v>
      </c>
      <c r="H26" s="130">
        <f t="shared" si="7"/>
        <v>3923.4</v>
      </c>
      <c r="I26" s="221">
        <v>30.18</v>
      </c>
      <c r="J26" s="222">
        <f>кмс!AB29+МАКС!AB29+сол!AB29</f>
        <v>11769</v>
      </c>
      <c r="K26" s="224">
        <v>5375</v>
      </c>
      <c r="L26" s="224">
        <f t="shared" si="8"/>
        <v>0</v>
      </c>
      <c r="M26" s="223"/>
      <c r="N26" s="222">
        <f>кмс!AE29+МАКС!AE29+сол!AE29</f>
        <v>2000</v>
      </c>
      <c r="O26" s="130">
        <v>27045</v>
      </c>
      <c r="P26" s="130">
        <f t="shared" si="9"/>
        <v>9360.2744999999995</v>
      </c>
      <c r="Q26" s="223">
        <v>34.61</v>
      </c>
      <c r="R26" s="222">
        <f>кмс!AH29+МАКС!AH29+сол!AH29</f>
        <v>72000</v>
      </c>
      <c r="S26" s="227">
        <v>32578</v>
      </c>
      <c r="T26" s="227">
        <f t="shared" si="10"/>
        <v>11275.245800000001</v>
      </c>
      <c r="U26" s="223">
        <v>34.61</v>
      </c>
      <c r="V26" s="222">
        <f>кмс!AK29+МАКС!AK29+сол!AK29</f>
        <v>25000</v>
      </c>
      <c r="W26" s="130">
        <v>5000</v>
      </c>
      <c r="X26" s="130">
        <f t="shared" si="11"/>
        <v>1730.5</v>
      </c>
      <c r="Y26" s="223">
        <v>34.61</v>
      </c>
      <c r="Z26" s="240">
        <f>сол!AN29+МАКС!AN29+кмс!AN29</f>
        <v>5600</v>
      </c>
      <c r="AA26" s="130"/>
      <c r="AB26" s="227">
        <f t="shared" si="12"/>
        <v>0</v>
      </c>
      <c r="AC26" s="223">
        <v>34.61</v>
      </c>
      <c r="AD26" s="240">
        <f>кмс!AQ29+МАКС!AQ29+сол!AQ29</f>
        <v>0</v>
      </c>
    </row>
    <row r="27" spans="1:30" ht="15" x14ac:dyDescent="0.2">
      <c r="A27" s="66">
        <v>20</v>
      </c>
      <c r="B27" s="67" t="s">
        <v>146</v>
      </c>
      <c r="C27" s="222">
        <v>44188</v>
      </c>
      <c r="D27" s="222">
        <f t="shared" si="6"/>
        <v>21736.077199999996</v>
      </c>
      <c r="E27" s="223">
        <v>49.19</v>
      </c>
      <c r="F27" s="222">
        <f>кмс!Y30+МАКС!Y30+сол!Y30</f>
        <v>45000</v>
      </c>
      <c r="G27" s="130">
        <v>9250</v>
      </c>
      <c r="H27" s="130">
        <f t="shared" si="7"/>
        <v>5513.9250000000002</v>
      </c>
      <c r="I27" s="221">
        <v>59.61</v>
      </c>
      <c r="J27" s="222">
        <f>кмс!AB30+МАКС!AB30+сол!AB30</f>
        <v>12000</v>
      </c>
      <c r="K27" s="224">
        <v>5946</v>
      </c>
      <c r="L27" s="224">
        <f t="shared" si="8"/>
        <v>0</v>
      </c>
      <c r="M27" s="223"/>
      <c r="N27" s="222">
        <f>кмс!AE30+МАКС!AE30+сол!AE30</f>
        <v>3000</v>
      </c>
      <c r="O27" s="130">
        <v>31959</v>
      </c>
      <c r="P27" s="130">
        <f t="shared" si="9"/>
        <v>16733.732400000001</v>
      </c>
      <c r="Q27" s="223">
        <v>52.36</v>
      </c>
      <c r="R27" s="222">
        <f>кмс!AH30+МАКС!AH30+сол!AH30</f>
        <v>110000</v>
      </c>
      <c r="S27" s="227">
        <v>38497</v>
      </c>
      <c r="T27" s="227">
        <f t="shared" si="10"/>
        <v>20157.029200000001</v>
      </c>
      <c r="U27" s="223">
        <v>52.36</v>
      </c>
      <c r="V27" s="222">
        <f>кмс!AK30+МАКС!AK30+сол!AK30</f>
        <v>22000</v>
      </c>
      <c r="W27" s="130">
        <v>7200</v>
      </c>
      <c r="X27" s="130">
        <f t="shared" si="11"/>
        <v>3769.92</v>
      </c>
      <c r="Y27" s="223">
        <v>52.36</v>
      </c>
      <c r="Z27" s="240">
        <f>сол!AN30+МАКС!AN30+кмс!AN30</f>
        <v>7800</v>
      </c>
      <c r="AA27" s="130"/>
      <c r="AB27" s="227">
        <f t="shared" si="12"/>
        <v>0</v>
      </c>
      <c r="AC27" s="223">
        <v>52.36</v>
      </c>
      <c r="AD27" s="240">
        <f>кмс!AQ30+МАКС!AQ30+сол!AQ30</f>
        <v>0</v>
      </c>
    </row>
    <row r="28" spans="1:30" ht="15" x14ac:dyDescent="0.2">
      <c r="A28" s="66">
        <v>21</v>
      </c>
      <c r="B28" s="67" t="s">
        <v>65</v>
      </c>
      <c r="C28" s="222"/>
      <c r="D28" s="222">
        <f t="shared" si="6"/>
        <v>0</v>
      </c>
      <c r="E28" s="223"/>
      <c r="F28" s="222">
        <f>кмс!Y31+МАКС!Y31+сол!Y31</f>
        <v>0</v>
      </c>
      <c r="G28" s="130">
        <v>3250</v>
      </c>
      <c r="H28" s="130">
        <f t="shared" si="7"/>
        <v>2300.0250000000001</v>
      </c>
      <c r="I28" s="221">
        <v>70.77</v>
      </c>
      <c r="J28" s="222">
        <f>кмс!AB31+МАКС!AB31+сол!AB31</f>
        <v>4000</v>
      </c>
      <c r="K28" s="224">
        <v>1645</v>
      </c>
      <c r="L28" s="224">
        <f t="shared" si="8"/>
        <v>0</v>
      </c>
      <c r="M28" s="223"/>
      <c r="N28" s="222">
        <f>кмс!AE31+МАКС!AE31+сол!AE31</f>
        <v>2000</v>
      </c>
      <c r="O28" s="130">
        <v>5628</v>
      </c>
      <c r="P28" s="130">
        <f t="shared" si="9"/>
        <v>3804.5279999999998</v>
      </c>
      <c r="Q28" s="223">
        <v>67.599999999999994</v>
      </c>
      <c r="R28" s="222">
        <f>кмс!AH31+МАКС!AH31+сол!AH31</f>
        <v>22000</v>
      </c>
      <c r="S28" s="227">
        <v>6725</v>
      </c>
      <c r="T28" s="227">
        <f t="shared" si="10"/>
        <v>4546.0999999999995</v>
      </c>
      <c r="U28" s="223">
        <v>67.599999999999994</v>
      </c>
      <c r="V28" s="222">
        <f>кмс!AK31+МАКС!AK31+сол!AK31</f>
        <v>4000</v>
      </c>
      <c r="W28" s="130"/>
      <c r="X28" s="130">
        <f t="shared" si="11"/>
        <v>0</v>
      </c>
      <c r="Y28" s="223">
        <v>67.599999999999994</v>
      </c>
      <c r="Z28" s="240">
        <f>сол!AN31+МАКС!AN31+кмс!AN31</f>
        <v>0</v>
      </c>
      <c r="AA28" s="130"/>
      <c r="AB28" s="227">
        <f t="shared" si="12"/>
        <v>0</v>
      </c>
      <c r="AC28" s="223">
        <v>67.599999999999994</v>
      </c>
      <c r="AD28" s="240">
        <f>кмс!AQ31+МАКС!AQ31+сол!AQ31</f>
        <v>0</v>
      </c>
    </row>
    <row r="29" spans="1:30" ht="15" x14ac:dyDescent="0.2">
      <c r="A29" s="66">
        <v>22</v>
      </c>
      <c r="B29" s="67" t="s">
        <v>147</v>
      </c>
      <c r="C29" s="222">
        <v>2400</v>
      </c>
      <c r="D29" s="222">
        <f t="shared" si="6"/>
        <v>0</v>
      </c>
      <c r="E29" s="223"/>
      <c r="F29" s="222">
        <f>кмс!Y32+МАКС!Y32+сол!Y32</f>
        <v>3500</v>
      </c>
      <c r="G29" s="130">
        <v>4500</v>
      </c>
      <c r="H29" s="130">
        <f t="shared" si="7"/>
        <v>30.6</v>
      </c>
      <c r="I29" s="221">
        <v>0.68</v>
      </c>
      <c r="J29" s="222">
        <f>кмс!AB32+МАКС!AB32+сол!AB32</f>
        <v>5000</v>
      </c>
      <c r="K29" s="224">
        <v>1488</v>
      </c>
      <c r="L29" s="224">
        <f t="shared" si="8"/>
        <v>0</v>
      </c>
      <c r="M29" s="223"/>
      <c r="N29" s="222">
        <f>кмс!AE32+МАКС!AE32+сол!AE32</f>
        <v>1500</v>
      </c>
      <c r="O29" s="130">
        <v>11457</v>
      </c>
      <c r="P29" s="130">
        <f t="shared" si="9"/>
        <v>82.490399999999994</v>
      </c>
      <c r="Q29" s="223">
        <v>0.72</v>
      </c>
      <c r="R29" s="222">
        <f>кмс!AH32+МАКС!AH32+сол!AH32</f>
        <v>24000</v>
      </c>
      <c r="S29" s="227">
        <v>13804</v>
      </c>
      <c r="T29" s="227">
        <f t="shared" si="10"/>
        <v>99.388799999999989</v>
      </c>
      <c r="U29" s="223">
        <v>0.72</v>
      </c>
      <c r="V29" s="222">
        <f>кмс!AK32+МАКС!AK32+сол!AK32</f>
        <v>8000</v>
      </c>
      <c r="W29" s="130">
        <v>1400</v>
      </c>
      <c r="X29" s="130">
        <f t="shared" si="11"/>
        <v>10.08</v>
      </c>
      <c r="Y29" s="223">
        <v>0.72</v>
      </c>
      <c r="Z29" s="240">
        <f>сол!AN32+МАКС!AN32+кмс!AN32</f>
        <v>1500</v>
      </c>
      <c r="AA29" s="130"/>
      <c r="AB29" s="227">
        <f t="shared" si="12"/>
        <v>0</v>
      </c>
      <c r="AC29" s="223">
        <v>0.72</v>
      </c>
      <c r="AD29" s="240">
        <f>кмс!AQ32+МАКС!AQ32+сол!AQ32</f>
        <v>0</v>
      </c>
    </row>
    <row r="30" spans="1:30" ht="15" x14ac:dyDescent="0.2">
      <c r="A30" s="66">
        <v>23</v>
      </c>
      <c r="B30" s="67" t="s">
        <v>148</v>
      </c>
      <c r="C30" s="222">
        <v>15626</v>
      </c>
      <c r="D30" s="222">
        <f t="shared" si="6"/>
        <v>4195.5810000000001</v>
      </c>
      <c r="E30" s="223">
        <v>26.85</v>
      </c>
      <c r="F30" s="243">
        <f>кмс!Y33+МАКС!Y33+сол!Y33</f>
        <v>19000</v>
      </c>
      <c r="G30" s="130">
        <v>9500</v>
      </c>
      <c r="H30" s="130">
        <f t="shared" si="7"/>
        <v>1894.3</v>
      </c>
      <c r="I30" s="221">
        <v>19.940000000000001</v>
      </c>
      <c r="J30" s="222">
        <f>кмс!AB33+МАКС!AB33+сол!AB33</f>
        <v>10000</v>
      </c>
      <c r="K30" s="224">
        <v>4960</v>
      </c>
      <c r="L30" s="224">
        <f t="shared" si="8"/>
        <v>0</v>
      </c>
      <c r="M30" s="223"/>
      <c r="N30" s="222">
        <f>кмс!AE33+МАКС!AE33+сол!AE33</f>
        <v>2000</v>
      </c>
      <c r="O30" s="130">
        <v>27658</v>
      </c>
      <c r="P30" s="130">
        <f t="shared" si="9"/>
        <v>7036.1952000000001</v>
      </c>
      <c r="Q30" s="223">
        <v>25.44</v>
      </c>
      <c r="R30" s="222">
        <f>кмс!AH33+МАКС!AH33+сол!AH33</f>
        <v>69000</v>
      </c>
      <c r="S30" s="227">
        <v>33316</v>
      </c>
      <c r="T30" s="227">
        <f t="shared" si="10"/>
        <v>8475.590400000001</v>
      </c>
      <c r="U30" s="223">
        <v>25.44</v>
      </c>
      <c r="V30" s="222">
        <f>кмс!AK33+МАКС!AK33+сол!AK33</f>
        <v>28000</v>
      </c>
      <c r="W30" s="130">
        <v>4400</v>
      </c>
      <c r="X30" s="130">
        <f t="shared" si="11"/>
        <v>1119.3599999999999</v>
      </c>
      <c r="Y30" s="223">
        <v>25.44</v>
      </c>
      <c r="Z30" s="240">
        <f>сол!AN33+МАКС!AN33+кмс!AN33</f>
        <v>4200</v>
      </c>
      <c r="AA30" s="130"/>
      <c r="AB30" s="227">
        <f t="shared" si="12"/>
        <v>0</v>
      </c>
      <c r="AC30" s="223">
        <v>25.44</v>
      </c>
      <c r="AD30" s="240">
        <f>кмс!AQ33+МАКС!AQ33+сол!AQ33</f>
        <v>0</v>
      </c>
    </row>
    <row r="31" spans="1:30" ht="15" x14ac:dyDescent="0.2">
      <c r="A31" s="66">
        <v>24</v>
      </c>
      <c r="B31" s="67" t="s">
        <v>149</v>
      </c>
      <c r="C31" s="222">
        <v>109363</v>
      </c>
      <c r="D31" s="222">
        <f t="shared" si="6"/>
        <v>51116.266199999998</v>
      </c>
      <c r="E31" s="223">
        <v>46.74</v>
      </c>
      <c r="F31" s="222">
        <f>кмс!Y35+МАКС!Y35+сол!Y35</f>
        <v>104000</v>
      </c>
      <c r="G31" s="130">
        <v>17000</v>
      </c>
      <c r="H31" s="130">
        <f t="shared" si="7"/>
        <v>7797.9</v>
      </c>
      <c r="I31" s="221">
        <v>45.87</v>
      </c>
      <c r="J31" s="222">
        <f>кмс!AB35+МАКС!AB35+сол!AB35</f>
        <v>13000</v>
      </c>
      <c r="K31" s="224">
        <v>12700</v>
      </c>
      <c r="L31" s="224">
        <f t="shared" si="8"/>
        <v>0</v>
      </c>
      <c r="M31" s="223"/>
      <c r="N31" s="222">
        <f>кмс!AE35+МАКС!AE35+сол!AE35</f>
        <v>6000</v>
      </c>
      <c r="O31" s="130">
        <v>72049</v>
      </c>
      <c r="P31" s="130">
        <f t="shared" si="9"/>
        <v>33459.5556</v>
      </c>
      <c r="Q31" s="223">
        <v>46.44</v>
      </c>
      <c r="R31" s="222">
        <f>кмс!AH35+МАКС!AH35+сол!AH35</f>
        <v>285000</v>
      </c>
      <c r="S31" s="227">
        <v>86789</v>
      </c>
      <c r="T31" s="227">
        <f t="shared" si="10"/>
        <v>40304.811599999994</v>
      </c>
      <c r="U31" s="223">
        <v>46.44</v>
      </c>
      <c r="V31" s="222">
        <f>кмс!AK35+МАКС!AK35+сол!AK35</f>
        <v>34000</v>
      </c>
      <c r="W31" s="130">
        <v>14000</v>
      </c>
      <c r="X31" s="130">
        <f t="shared" si="11"/>
        <v>6501.6</v>
      </c>
      <c r="Y31" s="223">
        <v>46.44</v>
      </c>
      <c r="Z31" s="240">
        <f>сол!AN35+МАКС!AN35+кмс!AN35</f>
        <v>14200</v>
      </c>
      <c r="AA31" s="130">
        <v>1782</v>
      </c>
      <c r="AB31" s="227">
        <f t="shared" si="12"/>
        <v>827.56079999999997</v>
      </c>
      <c r="AC31" s="223">
        <v>46.44</v>
      </c>
      <c r="AD31" s="240">
        <f>кмс!AQ35+МАКС!AQ35+сол!AQ35</f>
        <v>334</v>
      </c>
    </row>
    <row r="32" spans="1:30" ht="15" x14ac:dyDescent="0.2">
      <c r="A32" s="66">
        <v>25</v>
      </c>
      <c r="B32" s="67" t="s">
        <v>69</v>
      </c>
      <c r="C32" s="222"/>
      <c r="D32" s="222">
        <f t="shared" si="6"/>
        <v>0</v>
      </c>
      <c r="E32" s="223"/>
      <c r="F32" s="222" t="e">
        <f>кмс!#REF!+МАКС!#REF!+сол!#REF!</f>
        <v>#REF!</v>
      </c>
      <c r="G32" s="130"/>
      <c r="H32" s="130">
        <f t="shared" si="7"/>
        <v>0</v>
      </c>
      <c r="I32" s="221"/>
      <c r="J32" s="222" t="e">
        <f>кмс!#REF!+МАКС!#REF!+сол!#REF!</f>
        <v>#REF!</v>
      </c>
      <c r="K32" s="224"/>
      <c r="L32" s="224">
        <f t="shared" si="8"/>
        <v>0</v>
      </c>
      <c r="M32" s="223"/>
      <c r="N32" s="222" t="e">
        <f>кмс!#REF!+МАКС!#REF!+сол!#REF!</f>
        <v>#REF!</v>
      </c>
      <c r="O32" s="130"/>
      <c r="P32" s="130">
        <f t="shared" si="9"/>
        <v>0</v>
      </c>
      <c r="Q32" s="223">
        <v>56.95</v>
      </c>
      <c r="R32" s="222" t="e">
        <f>кмс!#REF!+МАКС!#REF!+сол!#REF!</f>
        <v>#REF!</v>
      </c>
      <c r="S32" s="227"/>
      <c r="T32" s="227">
        <f t="shared" si="10"/>
        <v>0</v>
      </c>
      <c r="U32" s="223">
        <v>56.95</v>
      </c>
      <c r="V32" s="222" t="e">
        <f>кмс!#REF!+МАКС!#REF!+сол!#REF!</f>
        <v>#REF!</v>
      </c>
      <c r="W32" s="130"/>
      <c r="X32" s="130">
        <f t="shared" si="11"/>
        <v>0</v>
      </c>
      <c r="Y32" s="223">
        <v>56.95</v>
      </c>
      <c r="Z32" s="240" t="e">
        <f>сол!#REF!+МАКС!#REF!+кмс!#REF!</f>
        <v>#REF!</v>
      </c>
      <c r="AA32" s="130"/>
      <c r="AB32" s="227">
        <f t="shared" si="12"/>
        <v>0</v>
      </c>
      <c r="AC32" s="223">
        <v>56.95</v>
      </c>
      <c r="AD32" s="240" t="e">
        <f>кмс!#REF!+МАКС!#REF!+сол!#REF!</f>
        <v>#REF!</v>
      </c>
    </row>
    <row r="33" spans="1:30" ht="15" x14ac:dyDescent="0.2">
      <c r="A33" s="67">
        <v>26</v>
      </c>
      <c r="B33" s="67" t="s">
        <v>70</v>
      </c>
      <c r="C33" s="222">
        <v>3200</v>
      </c>
      <c r="D33" s="222">
        <f t="shared" si="6"/>
        <v>1470.72</v>
      </c>
      <c r="E33" s="223">
        <v>45.96</v>
      </c>
      <c r="F33" s="222">
        <f>кмс!Y36+МАКС!Y36+сол!Y36</f>
        <v>4500</v>
      </c>
      <c r="G33" s="130">
        <v>8500</v>
      </c>
      <c r="H33" s="130">
        <f t="shared" si="7"/>
        <v>5162.8999999999996</v>
      </c>
      <c r="I33" s="221">
        <v>60.74</v>
      </c>
      <c r="J33" s="222">
        <f>кмс!AB36+МАКС!AB36+сол!AB36</f>
        <v>12000</v>
      </c>
      <c r="K33" s="224">
        <v>3500</v>
      </c>
      <c r="L33" s="224">
        <f t="shared" si="8"/>
        <v>0</v>
      </c>
      <c r="M33" s="223"/>
      <c r="N33" s="222">
        <f>кмс!AE36+МАКС!AE36+сол!AE36</f>
        <v>4000</v>
      </c>
      <c r="O33" s="130">
        <v>12934</v>
      </c>
      <c r="P33" s="130">
        <f t="shared" si="9"/>
        <v>7783.6812</v>
      </c>
      <c r="Q33" s="223">
        <v>60.18</v>
      </c>
      <c r="R33" s="222">
        <f>кмс!AH36+МАКС!AH36+сол!AH36</f>
        <v>38000</v>
      </c>
      <c r="S33" s="227">
        <v>15581</v>
      </c>
      <c r="T33" s="227">
        <f t="shared" si="10"/>
        <v>9376.6458000000002</v>
      </c>
      <c r="U33" s="223">
        <v>60.18</v>
      </c>
      <c r="V33" s="222">
        <f>кмс!AK36+МАКС!AK36+сол!AK36</f>
        <v>9000</v>
      </c>
      <c r="W33" s="130">
        <v>1220</v>
      </c>
      <c r="X33" s="130">
        <f t="shared" si="11"/>
        <v>734.19600000000003</v>
      </c>
      <c r="Y33" s="223">
        <v>60.18</v>
      </c>
      <c r="Z33" s="240">
        <f>сол!AN36+МАКС!AN36+кмс!AN36</f>
        <v>1400</v>
      </c>
      <c r="AA33" s="130"/>
      <c r="AB33" s="227">
        <f t="shared" si="12"/>
        <v>0</v>
      </c>
      <c r="AC33" s="223">
        <v>60.18</v>
      </c>
      <c r="AD33" s="240">
        <f>кмс!AQ36+МАКС!AQ36+сол!AQ36</f>
        <v>0</v>
      </c>
    </row>
    <row r="34" spans="1:30" ht="15" x14ac:dyDescent="0.2">
      <c r="A34" s="66">
        <v>27</v>
      </c>
      <c r="B34" s="68" t="s">
        <v>150</v>
      </c>
      <c r="C34" s="222">
        <v>3420</v>
      </c>
      <c r="D34" s="222">
        <f t="shared" si="6"/>
        <v>959.99399999999991</v>
      </c>
      <c r="E34" s="223">
        <v>28.07</v>
      </c>
      <c r="F34" s="222">
        <f>кмс!Y37+МАКС!Y37+сол!Y37</f>
        <v>4500</v>
      </c>
      <c r="G34" s="130">
        <v>5000</v>
      </c>
      <c r="H34" s="130">
        <f t="shared" si="7"/>
        <v>1935</v>
      </c>
      <c r="I34" s="221">
        <v>38.700000000000003</v>
      </c>
      <c r="J34" s="222">
        <f>кмс!AB37+МАКС!AB37+сол!AB37</f>
        <v>7000</v>
      </c>
      <c r="K34" s="224">
        <v>2840</v>
      </c>
      <c r="L34" s="224">
        <f t="shared" si="8"/>
        <v>0</v>
      </c>
      <c r="M34" s="223"/>
      <c r="N34" s="222">
        <f>кмс!AE37+МАКС!AE37+сол!AE37</f>
        <v>3000</v>
      </c>
      <c r="O34" s="130">
        <v>12550</v>
      </c>
      <c r="P34" s="130">
        <f t="shared" si="9"/>
        <v>4461.5249999999996</v>
      </c>
      <c r="Q34" s="223">
        <v>35.549999999999997</v>
      </c>
      <c r="R34" s="222">
        <f>кмс!AH37+МАКС!AH37+сол!AH37</f>
        <v>36000</v>
      </c>
      <c r="S34" s="227">
        <v>15118</v>
      </c>
      <c r="T34" s="227">
        <f t="shared" si="10"/>
        <v>5374.4489999999987</v>
      </c>
      <c r="U34" s="223">
        <v>35.549999999999997</v>
      </c>
      <c r="V34" s="222">
        <f>кмс!AK37+МАКС!AK37+сол!AK37</f>
        <v>7000</v>
      </c>
      <c r="W34" s="130">
        <v>2600</v>
      </c>
      <c r="X34" s="130">
        <f t="shared" si="11"/>
        <v>924.29999999999984</v>
      </c>
      <c r="Y34" s="223">
        <v>35.549999999999997</v>
      </c>
      <c r="Z34" s="240">
        <f>сол!AN37+МАКС!AN37+кмс!AN37</f>
        <v>2800</v>
      </c>
      <c r="AA34" s="130"/>
      <c r="AB34" s="227">
        <f t="shared" si="12"/>
        <v>0</v>
      </c>
      <c r="AC34" s="223">
        <v>35.549999999999997</v>
      </c>
      <c r="AD34" s="240">
        <f>кмс!AQ37+МАКС!AQ37+сол!AQ37</f>
        <v>0</v>
      </c>
    </row>
    <row r="35" spans="1:30" ht="15" x14ac:dyDescent="0.2">
      <c r="A35" s="66">
        <v>28</v>
      </c>
      <c r="B35" s="67" t="s">
        <v>151</v>
      </c>
      <c r="C35" s="222">
        <v>2880</v>
      </c>
      <c r="D35" s="222">
        <f t="shared" si="6"/>
        <v>1566.144</v>
      </c>
      <c r="E35" s="223">
        <v>54.38</v>
      </c>
      <c r="F35" s="222">
        <f>кмс!Y38+МАКС!Y38+сол!Y38</f>
        <v>3500</v>
      </c>
      <c r="G35" s="130">
        <v>5000</v>
      </c>
      <c r="H35" s="130">
        <f t="shared" si="7"/>
        <v>3107.5</v>
      </c>
      <c r="I35" s="221">
        <v>62.15</v>
      </c>
      <c r="J35" s="222">
        <f>кмс!AB38+МАКС!AB38+сол!AB38</f>
        <v>6000</v>
      </c>
      <c r="K35" s="224">
        <v>1750</v>
      </c>
      <c r="L35" s="224">
        <f t="shared" si="8"/>
        <v>0</v>
      </c>
      <c r="M35" s="223"/>
      <c r="N35" s="222">
        <f>кмс!AE38+МАКС!AE38+сол!AE38</f>
        <v>2000</v>
      </c>
      <c r="O35" s="130">
        <v>9246</v>
      </c>
      <c r="P35" s="130">
        <f t="shared" si="9"/>
        <v>5956.2732000000005</v>
      </c>
      <c r="Q35" s="223">
        <v>64.42</v>
      </c>
      <c r="R35" s="222">
        <f>кмс!AH38+МАКС!AH38+сол!AH38</f>
        <v>25000</v>
      </c>
      <c r="S35" s="227">
        <v>11138</v>
      </c>
      <c r="T35" s="227">
        <f t="shared" si="10"/>
        <v>7175.0995999999996</v>
      </c>
      <c r="U35" s="223">
        <v>64.42</v>
      </c>
      <c r="V35" s="222">
        <f>кмс!AK38+МАКС!AK38+сол!AK38</f>
        <v>7000</v>
      </c>
      <c r="W35" s="130">
        <v>1610</v>
      </c>
      <c r="X35" s="130">
        <f t="shared" si="11"/>
        <v>1037.162</v>
      </c>
      <c r="Y35" s="223">
        <v>64.42</v>
      </c>
      <c r="Z35" s="240">
        <f>сол!AN38+МАКС!AN38+кмс!AN38</f>
        <v>1700</v>
      </c>
      <c r="AA35" s="130"/>
      <c r="AB35" s="227">
        <f t="shared" si="12"/>
        <v>0</v>
      </c>
      <c r="AC35" s="223">
        <v>64.42</v>
      </c>
      <c r="AD35" s="240">
        <f>кмс!AQ38+МАКС!AQ38+сол!AQ38</f>
        <v>0</v>
      </c>
    </row>
    <row r="36" spans="1:30" ht="15" x14ac:dyDescent="0.2">
      <c r="A36" s="66">
        <v>29</v>
      </c>
      <c r="B36" s="67" t="s">
        <v>152</v>
      </c>
      <c r="C36" s="222">
        <v>2560</v>
      </c>
      <c r="D36" s="222">
        <f t="shared" si="6"/>
        <v>1883.3919999999998</v>
      </c>
      <c r="E36" s="223">
        <v>73.569999999999993</v>
      </c>
      <c r="F36" s="222">
        <f>кмс!Y39+МАКС!Y39+сол!Y39</f>
        <v>3500</v>
      </c>
      <c r="G36" s="130">
        <v>4500</v>
      </c>
      <c r="H36" s="130">
        <f t="shared" si="7"/>
        <v>3834</v>
      </c>
      <c r="I36" s="221">
        <v>85.2</v>
      </c>
      <c r="J36" s="222">
        <f>кмс!AB39+МАКС!AB39+сол!AB39</f>
        <v>6000</v>
      </c>
      <c r="K36" s="224">
        <v>1700</v>
      </c>
      <c r="L36" s="224">
        <f t="shared" si="8"/>
        <v>0</v>
      </c>
      <c r="M36" s="223"/>
      <c r="N36" s="222">
        <f>кмс!AE39+МАКС!AE39+сол!AE39</f>
        <v>2000</v>
      </c>
      <c r="O36" s="130">
        <v>7688</v>
      </c>
      <c r="P36" s="130">
        <f t="shared" si="9"/>
        <v>6013.5536000000002</v>
      </c>
      <c r="Q36" s="223">
        <v>78.22</v>
      </c>
      <c r="R36" s="222">
        <f>кмс!AH39+МАКС!AH39+сол!AH39</f>
        <v>17000</v>
      </c>
      <c r="S36" s="227">
        <v>9260</v>
      </c>
      <c r="T36" s="227">
        <f t="shared" si="10"/>
        <v>7243.1719999999996</v>
      </c>
      <c r="U36" s="223">
        <v>78.22</v>
      </c>
      <c r="V36" s="222">
        <f>кмс!AK39+МАКС!AK39+сол!AK39</f>
        <v>6000</v>
      </c>
      <c r="W36" s="130">
        <v>1570</v>
      </c>
      <c r="X36" s="130">
        <f t="shared" si="11"/>
        <v>1228.0539999999999</v>
      </c>
      <c r="Y36" s="223">
        <v>78.22</v>
      </c>
      <c r="Z36" s="240">
        <f>сол!AN39+МАКС!AN39+кмс!AN39</f>
        <v>1900</v>
      </c>
      <c r="AA36" s="130"/>
      <c r="AB36" s="227">
        <f t="shared" si="12"/>
        <v>0</v>
      </c>
      <c r="AC36" s="223">
        <v>78.22</v>
      </c>
      <c r="AD36" s="240">
        <f>кмс!AQ39+МАКС!AQ39+сол!AQ39</f>
        <v>0</v>
      </c>
    </row>
    <row r="37" spans="1:30" ht="15" x14ac:dyDescent="0.2">
      <c r="A37" s="66">
        <v>30</v>
      </c>
      <c r="B37" s="67" t="s">
        <v>153</v>
      </c>
      <c r="C37" s="222">
        <v>14500</v>
      </c>
      <c r="D37" s="222">
        <f t="shared" si="6"/>
        <v>4474.7</v>
      </c>
      <c r="E37" s="223">
        <v>30.86</v>
      </c>
      <c r="F37" s="222">
        <f>кмс!Y40+МАКС!Y40+сол!Y40</f>
        <v>14500</v>
      </c>
      <c r="G37" s="130">
        <v>7500</v>
      </c>
      <c r="H37" s="130">
        <f t="shared" si="7"/>
        <v>2337.75</v>
      </c>
      <c r="I37" s="221">
        <v>31.17</v>
      </c>
      <c r="J37" s="222">
        <f>кмс!AB40+МАКС!AB40+сол!AB40</f>
        <v>10000</v>
      </c>
      <c r="K37" s="224">
        <v>3386</v>
      </c>
      <c r="L37" s="224">
        <f t="shared" si="8"/>
        <v>0</v>
      </c>
      <c r="M37" s="223"/>
      <c r="N37" s="222">
        <f>кмс!AE40+МАКС!AE40+сол!AE40</f>
        <v>2000</v>
      </c>
      <c r="O37" s="130">
        <v>13647</v>
      </c>
      <c r="P37" s="130">
        <f t="shared" si="9"/>
        <v>3990.3827999999999</v>
      </c>
      <c r="Q37" s="223">
        <v>29.24</v>
      </c>
      <c r="R37" s="222">
        <f>кмс!AH40+МАКС!AH40+сол!AH40</f>
        <v>39000</v>
      </c>
      <c r="S37" s="227">
        <v>16439</v>
      </c>
      <c r="T37" s="227">
        <f t="shared" si="10"/>
        <v>4806.7636000000002</v>
      </c>
      <c r="U37" s="223">
        <v>29.24</v>
      </c>
      <c r="V37" s="222">
        <f>кмс!AK40+МАКС!AK40+сол!AK40</f>
        <v>9000</v>
      </c>
      <c r="W37" s="130">
        <v>3150</v>
      </c>
      <c r="X37" s="130">
        <f t="shared" si="11"/>
        <v>921.06</v>
      </c>
      <c r="Y37" s="223">
        <v>29.24</v>
      </c>
      <c r="Z37" s="240">
        <f>сол!AN40+МАКС!AN40+кмс!AN40</f>
        <v>3200</v>
      </c>
      <c r="AA37" s="130"/>
      <c r="AB37" s="227">
        <f t="shared" si="12"/>
        <v>0</v>
      </c>
      <c r="AC37" s="223">
        <v>29.24</v>
      </c>
      <c r="AD37" s="240">
        <f>кмс!AQ40+МАКС!AQ40+сол!AQ40</f>
        <v>0</v>
      </c>
    </row>
    <row r="38" spans="1:30" ht="15" x14ac:dyDescent="0.2">
      <c r="A38" s="66">
        <v>31</v>
      </c>
      <c r="B38" s="67" t="s">
        <v>154</v>
      </c>
      <c r="C38" s="222">
        <v>2880</v>
      </c>
      <c r="D38" s="222">
        <f t="shared" si="6"/>
        <v>2304</v>
      </c>
      <c r="E38" s="223">
        <v>80</v>
      </c>
      <c r="F38" s="222">
        <f>кмс!Y41+МАКС!Y41+сол!Y41</f>
        <v>3500</v>
      </c>
      <c r="G38" s="130">
        <v>4000</v>
      </c>
      <c r="H38" s="130">
        <f t="shared" si="7"/>
        <v>3064.8</v>
      </c>
      <c r="I38" s="221">
        <v>76.62</v>
      </c>
      <c r="J38" s="222">
        <f>кмс!AB41+МАКС!AB41+сол!AB41</f>
        <v>8000</v>
      </c>
      <c r="K38" s="224">
        <v>1637</v>
      </c>
      <c r="L38" s="224">
        <f t="shared" si="8"/>
        <v>0</v>
      </c>
      <c r="M38" s="223"/>
      <c r="N38" s="222">
        <f>кмс!AE41+МАКС!AE41+сол!AE41</f>
        <v>3000</v>
      </c>
      <c r="O38" s="130">
        <v>8946</v>
      </c>
      <c r="P38" s="130">
        <f t="shared" si="9"/>
        <v>6410.7035999999998</v>
      </c>
      <c r="Q38" s="223">
        <v>71.66</v>
      </c>
      <c r="R38" s="222">
        <f>кмс!AH41+МАКС!AH41+сол!AH41</f>
        <v>47000</v>
      </c>
      <c r="S38" s="227">
        <v>10775</v>
      </c>
      <c r="T38" s="227">
        <f t="shared" si="10"/>
        <v>7721.3649999999998</v>
      </c>
      <c r="U38" s="223">
        <v>71.66</v>
      </c>
      <c r="V38" s="222">
        <f>кмс!AK41+МАКС!AK41+сол!AK41</f>
        <v>8000</v>
      </c>
      <c r="W38" s="130">
        <v>1500</v>
      </c>
      <c r="X38" s="130">
        <f t="shared" si="11"/>
        <v>1074.9000000000001</v>
      </c>
      <c r="Y38" s="223">
        <v>71.66</v>
      </c>
      <c r="Z38" s="240">
        <f>сол!AN41+МАКС!AN41+кмс!AN41</f>
        <v>1700</v>
      </c>
      <c r="AA38" s="130"/>
      <c r="AB38" s="227">
        <f t="shared" si="12"/>
        <v>0</v>
      </c>
      <c r="AC38" s="223">
        <v>71.66</v>
      </c>
      <c r="AD38" s="240">
        <f>кмс!AQ41+МАКС!AQ41+сол!AQ41</f>
        <v>0</v>
      </c>
    </row>
    <row r="39" spans="1:30" ht="15" x14ac:dyDescent="0.2">
      <c r="A39" s="66">
        <v>32</v>
      </c>
      <c r="B39" s="67" t="s">
        <v>155</v>
      </c>
      <c r="C39" s="222">
        <v>43000</v>
      </c>
      <c r="D39" s="222">
        <f t="shared" si="6"/>
        <v>12199.1</v>
      </c>
      <c r="E39" s="223">
        <v>28.37</v>
      </c>
      <c r="F39" s="222">
        <f>кмс!Y43+МАКС!Y43+сол!Y43</f>
        <v>40000</v>
      </c>
      <c r="G39" s="130">
        <v>8500</v>
      </c>
      <c r="H39" s="130">
        <f t="shared" si="7"/>
        <v>2799.05</v>
      </c>
      <c r="I39" s="221">
        <v>32.93</v>
      </c>
      <c r="J39" s="222">
        <f>кмс!AB43+МАКС!AB43+сол!AB43</f>
        <v>8000</v>
      </c>
      <c r="K39" s="224"/>
      <c r="L39" s="224">
        <f t="shared" si="8"/>
        <v>0</v>
      </c>
      <c r="M39" s="223"/>
      <c r="N39" s="222">
        <f>кмс!AE43+МАКС!AE43+сол!AE43</f>
        <v>0</v>
      </c>
      <c r="O39" s="130">
        <v>92000</v>
      </c>
      <c r="P39" s="130">
        <f t="shared" si="9"/>
        <v>25116</v>
      </c>
      <c r="Q39" s="223">
        <v>27.3</v>
      </c>
      <c r="R39" s="222">
        <f>кмс!AH43+МАКС!AH43+сол!AH43</f>
        <v>62000</v>
      </c>
      <c r="S39" s="227"/>
      <c r="T39" s="227">
        <f t="shared" si="10"/>
        <v>0</v>
      </c>
      <c r="U39" s="223">
        <v>27.3</v>
      </c>
      <c r="V39" s="222">
        <f>кмс!AK43+МАКС!AK43+сол!AK43</f>
        <v>0</v>
      </c>
      <c r="W39" s="130"/>
      <c r="X39" s="130">
        <f t="shared" si="11"/>
        <v>0</v>
      </c>
      <c r="Y39" s="223">
        <v>27.3</v>
      </c>
      <c r="Z39" s="240">
        <f>сол!AN43+МАКС!AN43+кмс!AN43</f>
        <v>0</v>
      </c>
      <c r="AA39" s="130"/>
      <c r="AB39" s="227">
        <f t="shared" si="12"/>
        <v>0</v>
      </c>
      <c r="AC39" s="223">
        <v>27.3</v>
      </c>
      <c r="AD39" s="240">
        <f>кмс!AQ43+МАКС!AQ43+сол!AQ43</f>
        <v>0</v>
      </c>
    </row>
    <row r="40" spans="1:30" ht="15" x14ac:dyDescent="0.2">
      <c r="A40" s="66">
        <v>33</v>
      </c>
      <c r="B40" s="67" t="s">
        <v>156</v>
      </c>
      <c r="C40" s="222">
        <v>103682</v>
      </c>
      <c r="D40" s="222">
        <f t="shared" si="6"/>
        <v>21234.0736</v>
      </c>
      <c r="E40" s="223">
        <v>20.48</v>
      </c>
      <c r="F40" s="222">
        <f>кмс!Y44+МАКС!Y44+сол!Y44</f>
        <v>102000</v>
      </c>
      <c r="G40" s="130">
        <v>63000</v>
      </c>
      <c r="H40" s="130">
        <f t="shared" si="7"/>
        <v>12285</v>
      </c>
      <c r="I40" s="221">
        <v>19.5</v>
      </c>
      <c r="J40" s="242">
        <f>кмс!AB44+МАКС!AB44+сол!AB44</f>
        <v>67000</v>
      </c>
      <c r="K40" s="224">
        <v>50000</v>
      </c>
      <c r="L40" s="224">
        <f t="shared" si="8"/>
        <v>0</v>
      </c>
      <c r="M40" s="223"/>
      <c r="N40" s="222">
        <f>кмс!AE44+МАКС!AE44+сол!AE44</f>
        <v>39866</v>
      </c>
      <c r="O40" s="130">
        <v>149550</v>
      </c>
      <c r="P40" s="130">
        <f t="shared" si="9"/>
        <v>25991.79</v>
      </c>
      <c r="Q40" s="223">
        <v>17.38</v>
      </c>
      <c r="R40" s="222">
        <f>кмс!AH44+МАКС!AH44+сол!AH44</f>
        <v>449408</v>
      </c>
      <c r="S40" s="227">
        <v>182000</v>
      </c>
      <c r="T40" s="227">
        <f t="shared" si="10"/>
        <v>31631.599999999999</v>
      </c>
      <c r="U40" s="223">
        <v>17.38</v>
      </c>
      <c r="V40" s="222">
        <f>кмс!AK44+МАКС!AK44+сол!AK44</f>
        <v>94000</v>
      </c>
      <c r="W40" s="130"/>
      <c r="X40" s="130">
        <f t="shared" si="11"/>
        <v>0</v>
      </c>
      <c r="Y40" s="223">
        <v>17.38</v>
      </c>
      <c r="Z40" s="240">
        <f>сол!AN44+МАКС!AN44+кмс!AN44</f>
        <v>0</v>
      </c>
      <c r="AA40" s="130">
        <v>15200</v>
      </c>
      <c r="AB40" s="227">
        <f t="shared" si="12"/>
        <v>2641.76</v>
      </c>
      <c r="AC40" s="223">
        <v>17.38</v>
      </c>
      <c r="AD40" s="240">
        <f>кмс!AQ44+МАКС!AQ44+сол!AQ44</f>
        <v>7310</v>
      </c>
    </row>
    <row r="41" spans="1:30" ht="15" x14ac:dyDescent="0.2">
      <c r="A41" s="66">
        <v>34</v>
      </c>
      <c r="B41" s="67" t="s">
        <v>157</v>
      </c>
      <c r="C41" s="222">
        <v>231680</v>
      </c>
      <c r="D41" s="222">
        <f t="shared" si="6"/>
        <v>38319.871999999996</v>
      </c>
      <c r="E41" s="223">
        <v>16.54</v>
      </c>
      <c r="F41" s="243">
        <f>кмс!Y45+МАКС!Y45+сол!Y45</f>
        <v>217707</v>
      </c>
      <c r="G41" s="130">
        <v>53750</v>
      </c>
      <c r="H41" s="130">
        <f t="shared" si="7"/>
        <v>8331.25</v>
      </c>
      <c r="I41" s="221">
        <v>15.5</v>
      </c>
      <c r="J41" s="222">
        <f>кмс!AB45+МАКС!AB45+сол!AB45</f>
        <v>37000</v>
      </c>
      <c r="K41" s="224">
        <v>31692</v>
      </c>
      <c r="L41" s="224">
        <f t="shared" si="8"/>
        <v>0</v>
      </c>
      <c r="M41" s="223"/>
      <c r="N41" s="222">
        <f>кмс!AE45+МАКС!AE45+сол!AE45</f>
        <v>10000</v>
      </c>
      <c r="O41" s="130">
        <v>105444</v>
      </c>
      <c r="P41" s="130">
        <f t="shared" si="9"/>
        <v>11546.117999999999</v>
      </c>
      <c r="Q41" s="223">
        <v>10.95</v>
      </c>
      <c r="R41" s="222">
        <f>кмс!AH45+МАКС!AH45+сол!AH45</f>
        <v>317600</v>
      </c>
      <c r="S41" s="227">
        <v>125550</v>
      </c>
      <c r="T41" s="227">
        <f t="shared" si="10"/>
        <v>13747.725</v>
      </c>
      <c r="U41" s="223">
        <v>10.95</v>
      </c>
      <c r="V41" s="222">
        <f>кмс!AK45+МАКС!AK45+сол!AK45</f>
        <v>89000</v>
      </c>
      <c r="W41" s="130"/>
      <c r="X41" s="130">
        <f t="shared" si="11"/>
        <v>0</v>
      </c>
      <c r="Y41" s="223">
        <v>10.95</v>
      </c>
      <c r="Z41" s="240">
        <f>сол!AN45+МАКС!AN45+кмс!AN45</f>
        <v>0</v>
      </c>
      <c r="AA41" s="130"/>
      <c r="AB41" s="227">
        <f t="shared" si="12"/>
        <v>0</v>
      </c>
      <c r="AC41" s="223">
        <v>10.95</v>
      </c>
      <c r="AD41" s="240">
        <f>кмс!AQ45+МАКС!AQ45+сол!AQ45</f>
        <v>0</v>
      </c>
    </row>
    <row r="42" spans="1:30" ht="15" x14ac:dyDescent="0.2">
      <c r="A42" s="66">
        <v>35</v>
      </c>
      <c r="B42" s="67" t="s">
        <v>159</v>
      </c>
      <c r="C42" s="222">
        <v>71000</v>
      </c>
      <c r="D42" s="222">
        <f t="shared" si="6"/>
        <v>13759.8</v>
      </c>
      <c r="E42" s="223">
        <v>19.38</v>
      </c>
      <c r="F42" s="222" t="e">
        <f>кмс!#REF!+МАКС!#REF!+сол!#REF!</f>
        <v>#REF!</v>
      </c>
      <c r="G42" s="130">
        <v>0</v>
      </c>
      <c r="H42" s="130">
        <f t="shared" si="7"/>
        <v>0</v>
      </c>
      <c r="I42" s="221"/>
      <c r="J42" s="222" t="e">
        <f>кмс!#REF!+МАКС!#REF!+сол!#REF!</f>
        <v>#REF!</v>
      </c>
      <c r="K42" s="224">
        <v>3472</v>
      </c>
      <c r="L42" s="224">
        <f t="shared" si="8"/>
        <v>0</v>
      </c>
      <c r="M42" s="223"/>
      <c r="N42" s="222" t="e">
        <f>кмс!#REF!+МАКС!#REF!+сол!#REF!</f>
        <v>#REF!</v>
      </c>
      <c r="O42" s="130">
        <v>29145</v>
      </c>
      <c r="P42" s="130">
        <f t="shared" si="9"/>
        <v>3281.7270000000003</v>
      </c>
      <c r="Q42" s="223">
        <v>11.26</v>
      </c>
      <c r="R42" s="222" t="e">
        <f>кмс!#REF!+МАКС!#REF!+сол!#REF!</f>
        <v>#REF!</v>
      </c>
      <c r="S42" s="227">
        <v>35256</v>
      </c>
      <c r="T42" s="227">
        <f t="shared" si="10"/>
        <v>3969.8256000000001</v>
      </c>
      <c r="U42" s="223">
        <v>11.26</v>
      </c>
      <c r="V42" s="222" t="e">
        <f>кмс!#REF!+МАКС!#REF!+сол!#REF!</f>
        <v>#REF!</v>
      </c>
      <c r="W42" s="130"/>
      <c r="X42" s="130">
        <f t="shared" si="11"/>
        <v>0</v>
      </c>
      <c r="Y42" s="223">
        <v>11.26</v>
      </c>
      <c r="Z42" s="240" t="e">
        <f>сол!#REF!+МАКС!#REF!+кмс!#REF!</f>
        <v>#REF!</v>
      </c>
      <c r="AA42" s="130"/>
      <c r="AB42" s="227">
        <f t="shared" si="12"/>
        <v>0</v>
      </c>
      <c r="AC42" s="223">
        <v>11.26</v>
      </c>
      <c r="AD42" s="240" t="e">
        <f>кмс!#REF!+МАКС!#REF!+сол!#REF!</f>
        <v>#REF!</v>
      </c>
    </row>
    <row r="43" spans="1:30" ht="15" x14ac:dyDescent="0.2">
      <c r="A43" s="66">
        <v>36</v>
      </c>
      <c r="B43" s="67" t="s">
        <v>160</v>
      </c>
      <c r="C43" s="222"/>
      <c r="D43" s="222">
        <f t="shared" si="6"/>
        <v>0</v>
      </c>
      <c r="E43" s="223"/>
      <c r="F43" s="222">
        <f>кмс!Y46+МАКС!Y46+сол!Y46</f>
        <v>0</v>
      </c>
      <c r="G43" s="130">
        <v>17600</v>
      </c>
      <c r="H43" s="130">
        <f t="shared" si="7"/>
        <v>4334.88</v>
      </c>
      <c r="I43" s="221">
        <v>24.63</v>
      </c>
      <c r="J43" s="222">
        <f>кмс!AB46+МАКС!AB46+сол!AB46</f>
        <v>19000</v>
      </c>
      <c r="K43" s="224">
        <v>18114</v>
      </c>
      <c r="L43" s="224">
        <f t="shared" si="8"/>
        <v>0</v>
      </c>
      <c r="M43" s="223"/>
      <c r="N43" s="222">
        <f>кмс!AE46+МАКС!AE46+сол!AE46</f>
        <v>11000</v>
      </c>
      <c r="O43" s="130">
        <v>64308</v>
      </c>
      <c r="P43" s="130">
        <f t="shared" si="9"/>
        <v>17530.360800000002</v>
      </c>
      <c r="Q43" s="223">
        <v>27.26</v>
      </c>
      <c r="R43" s="222">
        <f>кмс!AH46+МАКС!AH46+сол!AH46</f>
        <v>110000</v>
      </c>
      <c r="S43" s="227">
        <v>73447</v>
      </c>
      <c r="T43" s="227">
        <f t="shared" si="10"/>
        <v>20021.6522</v>
      </c>
      <c r="U43" s="223">
        <v>27.26</v>
      </c>
      <c r="V43" s="222">
        <f>кмс!AK46+МАКС!AK46+сол!AK46</f>
        <v>30000</v>
      </c>
      <c r="W43" s="130"/>
      <c r="X43" s="130">
        <f t="shared" si="11"/>
        <v>0</v>
      </c>
      <c r="Y43" s="223">
        <v>27.26</v>
      </c>
      <c r="Z43" s="240">
        <f>сол!AN46+МАКС!AN46+кмс!AN46</f>
        <v>0</v>
      </c>
      <c r="AA43" s="130"/>
      <c r="AB43" s="227">
        <f t="shared" si="12"/>
        <v>0</v>
      </c>
      <c r="AC43" s="223">
        <v>27.26</v>
      </c>
      <c r="AD43" s="240">
        <f>кмс!AQ46+МАКС!AQ46+сол!AQ46</f>
        <v>0</v>
      </c>
    </row>
    <row r="44" spans="1:30" ht="15" x14ac:dyDescent="0.2">
      <c r="A44" s="66">
        <v>37</v>
      </c>
      <c r="B44" s="141" t="s">
        <v>84</v>
      </c>
      <c r="C44" s="222"/>
      <c r="D44" s="222">
        <f t="shared" si="6"/>
        <v>0</v>
      </c>
      <c r="E44" s="223"/>
      <c r="F44" s="222">
        <f>кмс!Y47+МАКС!Y47+сол!Y47</f>
        <v>0</v>
      </c>
      <c r="G44" s="130"/>
      <c r="H44" s="130">
        <f t="shared" si="7"/>
        <v>0</v>
      </c>
      <c r="I44" s="221"/>
      <c r="J44" s="222">
        <f>кмс!AB47+МАКС!AB47+сол!AB47</f>
        <v>0</v>
      </c>
      <c r="K44" s="224"/>
      <c r="L44" s="224">
        <f t="shared" si="8"/>
        <v>0</v>
      </c>
      <c r="M44" s="223"/>
      <c r="N44" s="222">
        <f>кмс!AE47+МАКС!AE47+сол!AE47</f>
        <v>0</v>
      </c>
      <c r="O44" s="130">
        <v>190400</v>
      </c>
      <c r="P44" s="130">
        <f t="shared" si="9"/>
        <v>31473.119999999999</v>
      </c>
      <c r="Q44" s="223">
        <v>16.53</v>
      </c>
      <c r="R44" s="222">
        <f>кмс!AH47+МАКС!AH47+сол!AH47</f>
        <v>151000</v>
      </c>
      <c r="S44" s="227"/>
      <c r="T44" s="227">
        <f t="shared" si="10"/>
        <v>0</v>
      </c>
      <c r="U44" s="223">
        <v>16.53</v>
      </c>
      <c r="V44" s="222">
        <f>кмс!AK47+МАКС!AK47+сол!AK47</f>
        <v>20000</v>
      </c>
      <c r="W44" s="130"/>
      <c r="X44" s="130">
        <f t="shared" si="11"/>
        <v>0</v>
      </c>
      <c r="Y44" s="223">
        <v>16.53</v>
      </c>
      <c r="Z44" s="240">
        <f>сол!AN47+МАКС!AN47+кмс!AN47</f>
        <v>0</v>
      </c>
      <c r="AA44" s="130"/>
      <c r="AB44" s="227">
        <f t="shared" si="12"/>
        <v>0</v>
      </c>
      <c r="AC44" s="223">
        <v>16.53</v>
      </c>
      <c r="AD44" s="240">
        <f>кмс!AQ47+МАКС!AQ47+сол!AQ47</f>
        <v>0</v>
      </c>
    </row>
    <row r="45" spans="1:30" ht="15" x14ac:dyDescent="0.2">
      <c r="A45" s="66">
        <v>38</v>
      </c>
      <c r="B45" s="141" t="s">
        <v>85</v>
      </c>
      <c r="C45" s="222"/>
      <c r="D45" s="222">
        <f t="shared" si="6"/>
        <v>0</v>
      </c>
      <c r="E45" s="223"/>
      <c r="F45" s="222" t="e">
        <f>кмс!#REF!+МАКС!#REF!+сол!#REF!</f>
        <v>#REF!</v>
      </c>
      <c r="G45" s="130"/>
      <c r="H45" s="130">
        <f t="shared" si="7"/>
        <v>0</v>
      </c>
      <c r="I45" s="221"/>
      <c r="J45" s="222" t="e">
        <f>кмс!#REF!+МАКС!#REF!+сол!#REF!</f>
        <v>#REF!</v>
      </c>
      <c r="K45" s="224"/>
      <c r="L45" s="224">
        <f t="shared" si="8"/>
        <v>0</v>
      </c>
      <c r="M45" s="223"/>
      <c r="N45" s="222" t="e">
        <f>кмс!#REF!+МАКС!#REF!+сол!#REF!</f>
        <v>#REF!</v>
      </c>
      <c r="O45" s="130"/>
      <c r="P45" s="130">
        <f t="shared" si="9"/>
        <v>0</v>
      </c>
      <c r="Q45" s="223">
        <v>22.21</v>
      </c>
      <c r="R45" s="222" t="e">
        <f>кмс!#REF!+МАКС!#REF!+сол!#REF!</f>
        <v>#REF!</v>
      </c>
      <c r="S45" s="227"/>
      <c r="T45" s="227">
        <f t="shared" si="10"/>
        <v>0</v>
      </c>
      <c r="U45" s="223">
        <v>22.21</v>
      </c>
      <c r="V45" s="222" t="e">
        <f>кмс!#REF!+МАКС!#REF!+сол!#REF!</f>
        <v>#REF!</v>
      </c>
      <c r="W45" s="130"/>
      <c r="X45" s="130">
        <f t="shared" si="11"/>
        <v>0</v>
      </c>
      <c r="Y45" s="223">
        <v>22.21</v>
      </c>
      <c r="Z45" s="240" t="e">
        <f>сол!#REF!+МАКС!#REF!+кмс!#REF!</f>
        <v>#REF!</v>
      </c>
      <c r="AA45" s="130"/>
      <c r="AB45" s="227">
        <f t="shared" si="12"/>
        <v>0</v>
      </c>
      <c r="AC45" s="223">
        <v>22.21</v>
      </c>
      <c r="AD45" s="240" t="e">
        <f>кмс!#REF!+МАКС!#REF!+сол!#REF!</f>
        <v>#REF!</v>
      </c>
    </row>
    <row r="46" spans="1:30" ht="15" x14ac:dyDescent="0.2">
      <c r="A46" s="66">
        <v>39</v>
      </c>
      <c r="B46" s="77" t="s">
        <v>161</v>
      </c>
      <c r="C46" s="222">
        <v>28474</v>
      </c>
      <c r="D46" s="222">
        <f t="shared" si="6"/>
        <v>1121.8756000000001</v>
      </c>
      <c r="E46" s="223">
        <v>3.94</v>
      </c>
      <c r="F46" s="222" t="e">
        <f>кмс!#REF!+МАКС!#REF!+сол!#REF!</f>
        <v>#REF!</v>
      </c>
      <c r="G46" s="130">
        <v>11500</v>
      </c>
      <c r="H46" s="130">
        <f t="shared" si="7"/>
        <v>148.35</v>
      </c>
      <c r="I46" s="221">
        <v>1.29</v>
      </c>
      <c r="J46" s="222" t="e">
        <f>кмс!#REF!+МАКС!#REF!+сол!#REF!</f>
        <v>#REF!</v>
      </c>
      <c r="K46" s="224">
        <v>5900</v>
      </c>
      <c r="L46" s="224">
        <f t="shared" si="8"/>
        <v>0</v>
      </c>
      <c r="M46" s="223"/>
      <c r="N46" s="222" t="e">
        <f>кмс!#REF!+МАКС!#REF!+сол!#REF!</f>
        <v>#REF!</v>
      </c>
      <c r="O46" s="130">
        <v>34726</v>
      </c>
      <c r="P46" s="130">
        <f t="shared" si="9"/>
        <v>392.40379999999999</v>
      </c>
      <c r="Q46" s="223">
        <v>1.1299999999999999</v>
      </c>
      <c r="R46" s="222" t="e">
        <f>кмс!#REF!+МАКС!#REF!+сол!#REF!</f>
        <v>#REF!</v>
      </c>
      <c r="S46" s="227">
        <v>41829</v>
      </c>
      <c r="T46" s="227">
        <f t="shared" si="10"/>
        <v>472.66769999999997</v>
      </c>
      <c r="U46" s="223">
        <v>1.1299999999999999</v>
      </c>
      <c r="V46" s="222" t="e">
        <f>кмс!#REF!+МАКС!#REF!+сол!#REF!</f>
        <v>#REF!</v>
      </c>
      <c r="W46" s="130">
        <v>6000</v>
      </c>
      <c r="X46" s="130">
        <f t="shared" si="11"/>
        <v>67.8</v>
      </c>
      <c r="Y46" s="223">
        <v>1.1299999999999999</v>
      </c>
      <c r="Z46" s="240" t="e">
        <f>сол!#REF!+МАКС!#REF!+кмс!#REF!</f>
        <v>#REF!</v>
      </c>
      <c r="AA46" s="130"/>
      <c r="AB46" s="227">
        <f t="shared" si="12"/>
        <v>0</v>
      </c>
      <c r="AC46" s="223">
        <v>1.1299999999999999</v>
      </c>
      <c r="AD46" s="240" t="e">
        <f>кмс!#REF!+МАКС!#REF!+сол!#REF!</f>
        <v>#REF!</v>
      </c>
    </row>
    <row r="47" spans="1:30" ht="15" x14ac:dyDescent="0.2">
      <c r="A47" s="67">
        <v>40</v>
      </c>
      <c r="B47" s="77" t="s">
        <v>162</v>
      </c>
      <c r="C47" s="222">
        <v>62050</v>
      </c>
      <c r="D47" s="222">
        <f t="shared" si="6"/>
        <v>14829.95</v>
      </c>
      <c r="E47" s="223">
        <v>23.9</v>
      </c>
      <c r="F47" s="243" t="e">
        <f>кмс!#REF!+МАКС!#REF!+сол!#REF!</f>
        <v>#REF!</v>
      </c>
      <c r="G47" s="130">
        <v>13652</v>
      </c>
      <c r="H47" s="130">
        <f t="shared" si="7"/>
        <v>4182.9728000000005</v>
      </c>
      <c r="I47" s="221">
        <v>30.64</v>
      </c>
      <c r="J47" s="222" t="e">
        <f>кмс!#REF!+МАКС!#REF!+сол!#REF!</f>
        <v>#REF!</v>
      </c>
      <c r="K47" s="224">
        <v>15713</v>
      </c>
      <c r="L47" s="224">
        <f t="shared" si="8"/>
        <v>0</v>
      </c>
      <c r="M47" s="223"/>
      <c r="N47" s="222" t="e">
        <f>кмс!#REF!+МАКС!#REF!+сол!#REF!</f>
        <v>#REF!</v>
      </c>
      <c r="O47" s="130">
        <v>72770</v>
      </c>
      <c r="P47" s="130">
        <f t="shared" si="9"/>
        <v>17122.781000000003</v>
      </c>
      <c r="Q47" s="223">
        <v>23.53</v>
      </c>
      <c r="R47" s="222" t="e">
        <f>кмс!#REF!+МАКС!#REF!+сол!#REF!</f>
        <v>#REF!</v>
      </c>
      <c r="S47" s="227">
        <v>51382</v>
      </c>
      <c r="T47" s="227">
        <f t="shared" si="10"/>
        <v>12090.184600000001</v>
      </c>
      <c r="U47" s="223">
        <v>23.53</v>
      </c>
      <c r="V47" s="222" t="e">
        <f>кмс!#REF!+МАКС!#REF!+сол!#REF!</f>
        <v>#REF!</v>
      </c>
      <c r="W47" s="130"/>
      <c r="X47" s="130">
        <f t="shared" si="11"/>
        <v>0</v>
      </c>
      <c r="Y47" s="223">
        <v>23.53</v>
      </c>
      <c r="Z47" s="240" t="e">
        <f>сол!#REF!+МАКС!#REF!+кмс!#REF!</f>
        <v>#REF!</v>
      </c>
      <c r="AA47" s="130"/>
      <c r="AB47" s="227">
        <f t="shared" si="12"/>
        <v>0</v>
      </c>
      <c r="AC47" s="223">
        <v>23.53</v>
      </c>
      <c r="AD47" s="240" t="e">
        <f>кмс!#REF!+МАКС!#REF!+сол!#REF!</f>
        <v>#REF!</v>
      </c>
    </row>
    <row r="48" spans="1:30" ht="15" x14ac:dyDescent="0.2">
      <c r="A48" s="67">
        <v>41</v>
      </c>
      <c r="B48" s="77" t="s">
        <v>163</v>
      </c>
      <c r="C48" s="222">
        <v>3200</v>
      </c>
      <c r="D48" s="222">
        <f t="shared" si="6"/>
        <v>1045.1199999999999</v>
      </c>
      <c r="E48" s="223">
        <v>32.659999999999997</v>
      </c>
      <c r="F48" s="222">
        <f>кмс!Y50+МАКС!Y50+сол!Y50</f>
        <v>61000</v>
      </c>
      <c r="G48" s="130">
        <v>6000</v>
      </c>
      <c r="H48" s="130">
        <f t="shared" si="7"/>
        <v>2194.8000000000002</v>
      </c>
      <c r="I48" s="221">
        <v>36.58</v>
      </c>
      <c r="J48" s="222">
        <f>кмс!AB50+МАКС!AB50+сол!AB50</f>
        <v>10000</v>
      </c>
      <c r="K48" s="224">
        <v>6280</v>
      </c>
      <c r="L48" s="224">
        <f t="shared" si="8"/>
        <v>0</v>
      </c>
      <c r="M48" s="223"/>
      <c r="N48" s="222">
        <f>кмс!AE50+МАКС!AE50+сол!AE50</f>
        <v>5000</v>
      </c>
      <c r="O48" s="130">
        <v>24025</v>
      </c>
      <c r="P48" s="130">
        <f t="shared" si="9"/>
        <v>10465.290000000001</v>
      </c>
      <c r="Q48" s="223">
        <v>43.56</v>
      </c>
      <c r="R48" s="222">
        <f>кмс!AH50+МАКС!AH50+сол!AH50</f>
        <v>147000</v>
      </c>
      <c r="S48" s="227">
        <v>27759</v>
      </c>
      <c r="T48" s="227">
        <f t="shared" si="10"/>
        <v>12091.820400000001</v>
      </c>
      <c r="U48" s="223">
        <v>43.56</v>
      </c>
      <c r="V48" s="222">
        <f>кмс!AK50+МАКС!AK50+сол!AK50</f>
        <v>44000</v>
      </c>
      <c r="W48" s="130">
        <v>5200</v>
      </c>
      <c r="X48" s="130">
        <f t="shared" si="11"/>
        <v>2265.12</v>
      </c>
      <c r="Y48" s="223">
        <v>43.56</v>
      </c>
      <c r="Z48" s="240">
        <f>сол!AN50+МАКС!AN50+кмс!AN50</f>
        <v>0</v>
      </c>
      <c r="AA48" s="130"/>
      <c r="AB48" s="227">
        <f t="shared" si="12"/>
        <v>0</v>
      </c>
      <c r="AC48" s="223">
        <v>43.56</v>
      </c>
      <c r="AD48" s="240">
        <f>кмс!AQ50+МАКС!AQ50+сол!AQ50</f>
        <v>0</v>
      </c>
    </row>
    <row r="49" spans="1:30" ht="15" x14ac:dyDescent="0.2">
      <c r="A49" s="66">
        <v>42</v>
      </c>
      <c r="B49" s="77" t="s">
        <v>90</v>
      </c>
      <c r="C49" s="222">
        <v>41300</v>
      </c>
      <c r="D49" s="222">
        <f t="shared" si="6"/>
        <v>834.26</v>
      </c>
      <c r="E49" s="223">
        <v>2.02</v>
      </c>
      <c r="F49" s="222">
        <f>кмс!Y53+МАКС!Y53+сол!Y53</f>
        <v>44000</v>
      </c>
      <c r="G49" s="130">
        <v>20000</v>
      </c>
      <c r="H49" s="130">
        <f t="shared" si="7"/>
        <v>418</v>
      </c>
      <c r="I49" s="221">
        <v>2.09</v>
      </c>
      <c r="J49" s="242">
        <f>кмс!AB53+МАКС!AB53+сол!AB53</f>
        <v>21000</v>
      </c>
      <c r="K49" s="224">
        <v>11772</v>
      </c>
      <c r="L49" s="224">
        <f t="shared" si="8"/>
        <v>0</v>
      </c>
      <c r="M49" s="223"/>
      <c r="N49" s="222">
        <f>кмс!AE53+МАКС!AE53+сол!AE53</f>
        <v>13000</v>
      </c>
      <c r="O49" s="130">
        <v>49488</v>
      </c>
      <c r="P49" s="130">
        <f t="shared" si="9"/>
        <v>880.88639999999998</v>
      </c>
      <c r="Q49" s="223">
        <v>1.78</v>
      </c>
      <c r="R49" s="222">
        <f>кмс!AH53+МАКС!AH53+сол!AH53</f>
        <v>131000</v>
      </c>
      <c r="S49" s="227">
        <v>59641</v>
      </c>
      <c r="T49" s="227">
        <f t="shared" si="10"/>
        <v>1061.6098</v>
      </c>
      <c r="U49" s="223">
        <v>1.78</v>
      </c>
      <c r="V49" s="222">
        <f>кмс!AK53+МАКС!AK53+сол!AK53</f>
        <v>56000</v>
      </c>
      <c r="W49" s="130">
        <v>11000</v>
      </c>
      <c r="X49" s="130">
        <f t="shared" si="11"/>
        <v>195.8</v>
      </c>
      <c r="Y49" s="223">
        <v>1.78</v>
      </c>
      <c r="Z49" s="240">
        <f>сол!AN53+МАКС!AN53+кмс!AN53</f>
        <v>10000</v>
      </c>
      <c r="AA49" s="130"/>
      <c r="AB49" s="227">
        <f t="shared" si="12"/>
        <v>0</v>
      </c>
      <c r="AC49" s="223">
        <v>1.78</v>
      </c>
      <c r="AD49" s="240">
        <f>кмс!AQ53+МАКС!AQ53+сол!AQ53</f>
        <v>0</v>
      </c>
    </row>
    <row r="50" spans="1:30" ht="15" x14ac:dyDescent="0.2">
      <c r="A50" s="66">
        <v>43</v>
      </c>
      <c r="B50" s="77" t="s">
        <v>91</v>
      </c>
      <c r="C50" s="222"/>
      <c r="D50" s="222">
        <f t="shared" si="6"/>
        <v>0</v>
      </c>
      <c r="E50" s="223"/>
      <c r="F50" s="222">
        <f>кмс!Y54+МАКС!Y54+сол!Y54</f>
        <v>0</v>
      </c>
      <c r="G50" s="130"/>
      <c r="H50" s="130">
        <f t="shared" si="7"/>
        <v>0</v>
      </c>
      <c r="I50" s="221"/>
      <c r="J50" s="222">
        <f>кмс!AB54+МАКС!AB54+сол!AB54</f>
        <v>0</v>
      </c>
      <c r="K50" s="224"/>
      <c r="L50" s="224">
        <f t="shared" si="8"/>
        <v>0</v>
      </c>
      <c r="M50" s="223"/>
      <c r="N50" s="222">
        <f>кмс!AE54+МАКС!AE54+сол!AE54</f>
        <v>0</v>
      </c>
      <c r="O50" s="130">
        <v>49460</v>
      </c>
      <c r="P50" s="130">
        <f t="shared" si="9"/>
        <v>1063.3900000000001</v>
      </c>
      <c r="Q50" s="223">
        <v>2.15</v>
      </c>
      <c r="R50" s="222">
        <f>кмс!AH54+МАКС!AH54+сол!AH54</f>
        <v>42000</v>
      </c>
      <c r="S50" s="227"/>
      <c r="T50" s="227">
        <f t="shared" si="10"/>
        <v>0</v>
      </c>
      <c r="U50" s="223">
        <v>2.15</v>
      </c>
      <c r="V50" s="222">
        <f>кмс!AK54+МАКС!AK54+сол!AK54</f>
        <v>6000</v>
      </c>
      <c r="W50" s="130"/>
      <c r="X50" s="130">
        <f t="shared" si="11"/>
        <v>0</v>
      </c>
      <c r="Y50" s="223">
        <v>2.15</v>
      </c>
      <c r="Z50" s="240">
        <f>сол!AN54+МАКС!AN54+кмс!AN54</f>
        <v>0</v>
      </c>
      <c r="AA50" s="130"/>
      <c r="AB50" s="227">
        <f t="shared" si="12"/>
        <v>0</v>
      </c>
      <c r="AC50" s="223">
        <v>2.15</v>
      </c>
      <c r="AD50" s="240">
        <f>кмс!AQ54+МАКС!AQ54+сол!AQ54</f>
        <v>0</v>
      </c>
    </row>
    <row r="51" spans="1:30" ht="15" x14ac:dyDescent="0.2">
      <c r="A51" s="66">
        <v>44</v>
      </c>
      <c r="B51" s="77" t="s">
        <v>164</v>
      </c>
      <c r="C51" s="222">
        <v>7600</v>
      </c>
      <c r="D51" s="222">
        <f t="shared" si="6"/>
        <v>74.48</v>
      </c>
      <c r="E51" s="223">
        <v>0.98</v>
      </c>
      <c r="F51" s="222">
        <f>кмс!Y55+МАКС!Y55+сол!Y55</f>
        <v>6000</v>
      </c>
      <c r="G51" s="130">
        <v>6000</v>
      </c>
      <c r="H51" s="130">
        <f t="shared" si="7"/>
        <v>24.6</v>
      </c>
      <c r="I51" s="221">
        <v>0.41</v>
      </c>
      <c r="J51" s="222">
        <f>кмс!AB55+МАКС!AB55+сол!AB55</f>
        <v>4000</v>
      </c>
      <c r="K51" s="224">
        <v>4279</v>
      </c>
      <c r="L51" s="224">
        <f t="shared" si="8"/>
        <v>0</v>
      </c>
      <c r="M51" s="223"/>
      <c r="N51" s="222">
        <f>кмс!AE55+МАКС!AE55+сол!AE55</f>
        <v>3000</v>
      </c>
      <c r="O51" s="130">
        <v>26130</v>
      </c>
      <c r="P51" s="130">
        <f t="shared" si="9"/>
        <v>326.625</v>
      </c>
      <c r="Q51" s="223">
        <v>1.25</v>
      </c>
      <c r="R51" s="222">
        <f>кмс!AH55+МАКС!AH55+сол!AH55</f>
        <v>57000</v>
      </c>
      <c r="S51" s="227">
        <v>31475</v>
      </c>
      <c r="T51" s="227">
        <f t="shared" si="10"/>
        <v>393.4375</v>
      </c>
      <c r="U51" s="223">
        <v>1.25</v>
      </c>
      <c r="V51" s="222">
        <f>кмс!AK55+МАКС!AK55+сол!AK55</f>
        <v>11000</v>
      </c>
      <c r="W51" s="130">
        <v>4000</v>
      </c>
      <c r="X51" s="130">
        <f t="shared" si="11"/>
        <v>50</v>
      </c>
      <c r="Y51" s="223">
        <v>1.25</v>
      </c>
      <c r="Z51" s="240">
        <f>сол!AN55+МАКС!AN55+кмс!AN55</f>
        <v>3300</v>
      </c>
      <c r="AA51" s="130"/>
      <c r="AB51" s="227">
        <f t="shared" si="12"/>
        <v>0</v>
      </c>
      <c r="AC51" s="223">
        <v>1.25</v>
      </c>
      <c r="AD51" s="240">
        <f>кмс!AQ55+МАКС!AQ55+сол!AQ55</f>
        <v>0</v>
      </c>
    </row>
    <row r="52" spans="1:30" ht="15" x14ac:dyDescent="0.2">
      <c r="A52" s="66">
        <v>45</v>
      </c>
      <c r="B52" s="77" t="s">
        <v>165</v>
      </c>
      <c r="C52" s="222">
        <v>3786</v>
      </c>
      <c r="D52" s="222">
        <f t="shared" si="6"/>
        <v>65.119200000000006</v>
      </c>
      <c r="E52" s="223">
        <v>1.72</v>
      </c>
      <c r="F52" s="222">
        <f>кмс!Y56+МАКС!Y56+сол!Y56</f>
        <v>5000</v>
      </c>
      <c r="G52" s="130">
        <v>7000</v>
      </c>
      <c r="H52" s="130">
        <f t="shared" si="7"/>
        <v>153.30000000000001</v>
      </c>
      <c r="I52" s="221">
        <v>2.19</v>
      </c>
      <c r="J52" s="222">
        <f>кмс!AB56+МАКС!AB56+сол!AB56</f>
        <v>8000</v>
      </c>
      <c r="K52" s="224">
        <v>4489</v>
      </c>
      <c r="L52" s="224">
        <f t="shared" si="8"/>
        <v>0</v>
      </c>
      <c r="M52" s="223"/>
      <c r="N52" s="222">
        <f>кмс!AE56+МАКС!AE56+сол!AE56</f>
        <v>2000</v>
      </c>
      <c r="O52" s="130">
        <v>22480</v>
      </c>
      <c r="P52" s="130">
        <f t="shared" si="9"/>
        <v>685.64</v>
      </c>
      <c r="Q52" s="223">
        <v>3.05</v>
      </c>
      <c r="R52" s="222">
        <f>кмс!AH56+МАКС!AH56+сол!AH56</f>
        <v>62000</v>
      </c>
      <c r="S52" s="227">
        <v>27079</v>
      </c>
      <c r="T52" s="227">
        <f t="shared" si="10"/>
        <v>825.90949999999998</v>
      </c>
      <c r="U52" s="223">
        <v>3.05</v>
      </c>
      <c r="V52" s="222">
        <f>кмс!AK56+МАКС!AK56+сол!AK56</f>
        <v>13000</v>
      </c>
      <c r="W52" s="130">
        <v>4120</v>
      </c>
      <c r="X52" s="130">
        <f t="shared" si="11"/>
        <v>125.66</v>
      </c>
      <c r="Y52" s="223">
        <v>3.05</v>
      </c>
      <c r="Z52" s="240">
        <f>сол!AN56+МАКС!AN56+кмс!AN56</f>
        <v>4000</v>
      </c>
      <c r="AA52" s="130"/>
      <c r="AB52" s="227">
        <f t="shared" si="12"/>
        <v>0</v>
      </c>
      <c r="AC52" s="223">
        <v>3.05</v>
      </c>
      <c r="AD52" s="240">
        <f>кмс!AQ56+МАКС!AQ56+сол!AQ56</f>
        <v>0</v>
      </c>
    </row>
    <row r="53" spans="1:30" ht="15" x14ac:dyDescent="0.2">
      <c r="A53" s="66">
        <v>46</v>
      </c>
      <c r="B53" s="78" t="s">
        <v>166</v>
      </c>
      <c r="C53" s="222">
        <v>2880</v>
      </c>
      <c r="D53" s="222">
        <f t="shared" si="6"/>
        <v>26.784000000000002</v>
      </c>
      <c r="E53" s="223">
        <v>0.93</v>
      </c>
      <c r="F53" s="222">
        <f>кмс!Y57+МАКС!Y57+сол!Y57</f>
        <v>8500</v>
      </c>
      <c r="G53" s="130">
        <v>2600</v>
      </c>
      <c r="H53" s="130">
        <f t="shared" si="7"/>
        <v>18.72</v>
      </c>
      <c r="I53" s="221">
        <v>0.72</v>
      </c>
      <c r="J53" s="222">
        <f>кмс!AB57+МАКС!AB57+сол!AB57</f>
        <v>14000</v>
      </c>
      <c r="K53" s="224">
        <v>2600</v>
      </c>
      <c r="L53" s="224">
        <f t="shared" si="8"/>
        <v>0</v>
      </c>
      <c r="M53" s="223"/>
      <c r="N53" s="222">
        <f>кмс!AE57+МАКС!AE57+сол!AE57</f>
        <v>0.46100000000000002</v>
      </c>
      <c r="O53" s="130">
        <v>9042</v>
      </c>
      <c r="P53" s="130">
        <f t="shared" si="9"/>
        <v>81.378</v>
      </c>
      <c r="Q53" s="223">
        <v>0.9</v>
      </c>
      <c r="R53" s="222">
        <f>кмс!AH57+МАКС!AH57+сол!AH57</f>
        <v>194100</v>
      </c>
      <c r="S53" s="227">
        <v>10893</v>
      </c>
      <c r="T53" s="227">
        <f t="shared" si="10"/>
        <v>98.037000000000006</v>
      </c>
      <c r="U53" s="223">
        <v>0.9</v>
      </c>
      <c r="V53" s="222">
        <f>кмс!AK57+МАКС!AK57+сол!AK57</f>
        <v>40472</v>
      </c>
      <c r="W53" s="130">
        <v>2380</v>
      </c>
      <c r="X53" s="130">
        <f>VALUE(W53*Y53/100)</f>
        <v>21.42</v>
      </c>
      <c r="Y53" s="223">
        <v>0.9</v>
      </c>
      <c r="Z53" s="240">
        <f>сол!AN57+МАКС!AN57+кмс!AN57</f>
        <v>0</v>
      </c>
      <c r="AA53" s="130"/>
      <c r="AB53" s="227">
        <f t="shared" si="12"/>
        <v>0</v>
      </c>
      <c r="AC53" s="223">
        <v>0.9</v>
      </c>
      <c r="AD53" s="240">
        <f>кмс!AQ57+МАКС!AQ57+сол!AQ57</f>
        <v>11049</v>
      </c>
    </row>
    <row r="54" spans="1:30" ht="15.75" x14ac:dyDescent="0.25">
      <c r="A54" s="418" t="s">
        <v>122</v>
      </c>
      <c r="B54" s="419"/>
      <c r="C54" s="194">
        <f>SUM(C55:C70)</f>
        <v>11373</v>
      </c>
      <c r="D54" s="194">
        <f t="shared" ref="D54:AB54" si="13">SUM(D55:D70)</f>
        <v>2523.3948</v>
      </c>
      <c r="E54" s="233">
        <f>VALUE(D54/C54*100)</f>
        <v>22.187591664468478</v>
      </c>
      <c r="F54" s="194" t="e">
        <f t="shared" si="13"/>
        <v>#REF!</v>
      </c>
      <c r="G54" s="194">
        <f t="shared" si="13"/>
        <v>11126</v>
      </c>
      <c r="H54" s="194">
        <f t="shared" si="13"/>
        <v>5034.2579999999998</v>
      </c>
      <c r="I54" s="233">
        <f>VALUE(H54/G54*100)</f>
        <v>45.247690095272333</v>
      </c>
      <c r="J54" s="194" t="e">
        <f t="shared" si="13"/>
        <v>#REF!</v>
      </c>
      <c r="K54" s="194">
        <f t="shared" si="13"/>
        <v>62</v>
      </c>
      <c r="L54" s="194">
        <f t="shared" si="13"/>
        <v>0</v>
      </c>
      <c r="M54" s="233">
        <f>VALUE(L54/K54*100)</f>
        <v>0</v>
      </c>
      <c r="N54" s="194" t="e">
        <f t="shared" si="13"/>
        <v>#REF!</v>
      </c>
      <c r="O54" s="194">
        <f t="shared" si="13"/>
        <v>218535</v>
      </c>
      <c r="P54" s="194">
        <f t="shared" si="13"/>
        <v>96326.466900000014</v>
      </c>
      <c r="Q54" s="233">
        <f>VALUE(P54/O54*100)</f>
        <v>44.078278948452201</v>
      </c>
      <c r="R54" s="194" t="e">
        <f t="shared" si="13"/>
        <v>#REF!</v>
      </c>
      <c r="S54" s="194">
        <f t="shared" si="13"/>
        <v>24966</v>
      </c>
      <c r="T54" s="194">
        <f t="shared" si="13"/>
        <v>3680.8775999999998</v>
      </c>
      <c r="U54" s="233">
        <f>VALUE(T54/S54*100)</f>
        <v>14.743561643835616</v>
      </c>
      <c r="V54" s="194" t="e">
        <f t="shared" si="13"/>
        <v>#REF!</v>
      </c>
      <c r="W54" s="194">
        <f t="shared" si="13"/>
        <v>0</v>
      </c>
      <c r="X54" s="194"/>
      <c r="Y54" s="233" t="e">
        <f>VALUE(X54/W54*100)</f>
        <v>#DIV/0!</v>
      </c>
      <c r="Z54" s="241" t="e">
        <f t="shared" si="13"/>
        <v>#REF!</v>
      </c>
      <c r="AA54" s="194">
        <f t="shared" si="13"/>
        <v>0</v>
      </c>
      <c r="AB54" s="194">
        <f t="shared" si="13"/>
        <v>0</v>
      </c>
      <c r="AC54" s="233" t="e">
        <f>VALUE(AB54/AA54*100)</f>
        <v>#DIV/0!</v>
      </c>
      <c r="AD54" s="241" t="e">
        <f>SUM(AD55:AD70)</f>
        <v>#REF!</v>
      </c>
    </row>
    <row r="55" spans="1:30" ht="15" x14ac:dyDescent="0.2">
      <c r="A55" s="66">
        <v>47</v>
      </c>
      <c r="B55" s="67" t="s">
        <v>167</v>
      </c>
      <c r="C55" s="222">
        <v>3373</v>
      </c>
      <c r="D55" s="222">
        <f>VALUE(C55*E55/100)</f>
        <v>430.39479999999998</v>
      </c>
      <c r="E55" s="223">
        <v>12.76</v>
      </c>
      <c r="F55" s="222">
        <f>кмс!Y58+МАКС!Y58+сол!Y58</f>
        <v>3500</v>
      </c>
      <c r="G55" s="130">
        <v>1026</v>
      </c>
      <c r="H55" s="130">
        <f t="shared" ref="H55:H70" si="14">VALUE(G55*I55/100)</f>
        <v>387.82799999999997</v>
      </c>
      <c r="I55" s="221">
        <v>37.799999999999997</v>
      </c>
      <c r="J55" s="222">
        <f>кмс!AB58+МАКС!AB58+сол!AB58</f>
        <v>2000</v>
      </c>
      <c r="K55" s="224"/>
      <c r="L55" s="224">
        <f t="shared" ref="L55:L70" si="15">VALUE(K55*M55/100)</f>
        <v>0</v>
      </c>
      <c r="M55" s="223"/>
      <c r="N55" s="222">
        <f>кмс!AE58+МАКС!AE58+сол!AE58</f>
        <v>0</v>
      </c>
      <c r="O55" s="130">
        <v>2412</v>
      </c>
      <c r="P55" s="130">
        <f t="shared" ref="P55:P70" si="16">VALUE(O55*Q55/100)</f>
        <v>385.67879999999997</v>
      </c>
      <c r="Q55" s="223">
        <v>15.99</v>
      </c>
      <c r="R55" s="222">
        <f>кмс!AH58+МАКС!AH58+сол!AH58</f>
        <v>5000</v>
      </c>
      <c r="S55" s="227">
        <v>2905</v>
      </c>
      <c r="T55" s="227">
        <f t="shared" ref="T55:T70" si="17">VALUE(S55*U55/100)</f>
        <v>464.50949999999995</v>
      </c>
      <c r="U55" s="223">
        <v>15.99</v>
      </c>
      <c r="V55" s="222">
        <f>кмс!AK58+МАКС!AK58+сол!AK58</f>
        <v>1000</v>
      </c>
      <c r="W55" s="130">
        <f t="shared" ref="W55:W70" si="18">VALUE(U55*X55/100)</f>
        <v>0</v>
      </c>
      <c r="X55" s="130"/>
      <c r="Y55" s="223">
        <v>15.99</v>
      </c>
      <c r="Z55" s="240">
        <f>сол!AN58+МАКС!AN58+кмс!AN58</f>
        <v>0</v>
      </c>
      <c r="AA55" s="130"/>
      <c r="AB55" s="227">
        <f t="shared" ref="AB55:AB70" si="19">VALUE(AA55*AC55/100)</f>
        <v>0</v>
      </c>
      <c r="AC55" s="223">
        <v>15.99</v>
      </c>
      <c r="AD55" s="240">
        <f>кмс!AQ58+МАКС!AQ58+сол!AQ58</f>
        <v>0</v>
      </c>
    </row>
    <row r="56" spans="1:30" ht="15" x14ac:dyDescent="0.2">
      <c r="A56" s="66">
        <v>48</v>
      </c>
      <c r="B56" s="67" t="s">
        <v>170</v>
      </c>
      <c r="C56" s="222">
        <v>3000</v>
      </c>
      <c r="D56" s="222">
        <f>VALUE(C56*E56/100)+19</f>
        <v>790</v>
      </c>
      <c r="E56" s="223">
        <v>25.7</v>
      </c>
      <c r="F56" s="222">
        <f>кмс!Y59+МАКС!Y59+сол!Y59</f>
        <v>0</v>
      </c>
      <c r="G56" s="130"/>
      <c r="H56" s="130">
        <f t="shared" si="14"/>
        <v>0</v>
      </c>
      <c r="I56" s="221"/>
      <c r="J56" s="222">
        <f>кмс!AB59+МАКС!AB59+сол!AB59</f>
        <v>0</v>
      </c>
      <c r="K56" s="224"/>
      <c r="L56" s="224">
        <f t="shared" si="15"/>
        <v>0</v>
      </c>
      <c r="M56" s="223"/>
      <c r="N56" s="222">
        <f>кмс!AE59+МАКС!AE59+сол!AE59</f>
        <v>0</v>
      </c>
      <c r="O56" s="130">
        <v>2814</v>
      </c>
      <c r="P56" s="130">
        <f t="shared" si="16"/>
        <v>648.06420000000003</v>
      </c>
      <c r="Q56" s="223">
        <v>23.03</v>
      </c>
      <c r="R56" s="222">
        <f>кмс!AH59+МАКС!AH59+сол!AH59</f>
        <v>0</v>
      </c>
      <c r="S56" s="227">
        <v>3390</v>
      </c>
      <c r="T56" s="227">
        <f t="shared" si="17"/>
        <v>0</v>
      </c>
      <c r="U56" s="223"/>
      <c r="V56" s="222">
        <f>кмс!AK59+МАКС!AK59+сол!AK59</f>
        <v>0</v>
      </c>
      <c r="W56" s="130">
        <f t="shared" si="18"/>
        <v>0</v>
      </c>
      <c r="X56" s="130"/>
      <c r="Y56" s="223"/>
      <c r="Z56" s="240">
        <f>сол!AN59+МАКС!AN59+кмс!AN59</f>
        <v>0</v>
      </c>
      <c r="AA56" s="130"/>
      <c r="AB56" s="227">
        <f t="shared" si="19"/>
        <v>0</v>
      </c>
      <c r="AC56" s="223"/>
      <c r="AD56" s="240">
        <f>кмс!AQ59+МАКС!AQ59+сол!AQ59</f>
        <v>0</v>
      </c>
    </row>
    <row r="57" spans="1:30" ht="15" x14ac:dyDescent="0.2">
      <c r="A57" s="66">
        <v>49</v>
      </c>
      <c r="B57" s="67" t="s">
        <v>171</v>
      </c>
      <c r="C57" s="222">
        <v>5000</v>
      </c>
      <c r="D57" s="222">
        <f>VALUE(C57*E57/100)+18</f>
        <v>1303</v>
      </c>
      <c r="E57" s="223">
        <v>25.7</v>
      </c>
      <c r="F57" s="243">
        <f>кмс!Y60+МАКС!Y60+сол!Y60</f>
        <v>0</v>
      </c>
      <c r="G57" s="130"/>
      <c r="H57" s="130">
        <f t="shared" si="14"/>
        <v>0</v>
      </c>
      <c r="I57" s="221"/>
      <c r="J57" s="222">
        <f>кмс!AB60+МАКС!AB60+сол!AB60</f>
        <v>0</v>
      </c>
      <c r="K57" s="224">
        <v>62</v>
      </c>
      <c r="L57" s="224">
        <f t="shared" si="15"/>
        <v>0</v>
      </c>
      <c r="M57" s="223"/>
      <c r="N57" s="222">
        <f>кмс!AE60+МАКС!AE60+сол!AE60</f>
        <v>0.46100000000000002</v>
      </c>
      <c r="O57" s="130">
        <v>4690</v>
      </c>
      <c r="P57" s="130">
        <f t="shared" si="16"/>
        <v>1080.1070000000002</v>
      </c>
      <c r="Q57" s="223">
        <v>23.03</v>
      </c>
      <c r="R57" s="222">
        <f>кмс!AH60+МАКС!AH60+сол!AH60</f>
        <v>0</v>
      </c>
      <c r="S57" s="227">
        <v>3730</v>
      </c>
      <c r="T57" s="227">
        <f t="shared" si="17"/>
        <v>0</v>
      </c>
      <c r="U57" s="223"/>
      <c r="V57" s="222">
        <f>кмс!AK60+МАКС!AK60+сол!AK60</f>
        <v>0</v>
      </c>
      <c r="W57" s="130">
        <f t="shared" si="18"/>
        <v>0</v>
      </c>
      <c r="X57" s="130"/>
      <c r="Y57" s="223"/>
      <c r="Z57" s="240">
        <f>сол!AN60+МАКС!AN60+кмс!AN60</f>
        <v>0</v>
      </c>
      <c r="AA57" s="130"/>
      <c r="AB57" s="227">
        <f t="shared" si="19"/>
        <v>0</v>
      </c>
      <c r="AC57" s="223"/>
      <c r="AD57" s="240">
        <f>кмс!AQ60+МАКС!AQ60+сол!AQ60</f>
        <v>0</v>
      </c>
    </row>
    <row r="58" spans="1:30" ht="15" x14ac:dyDescent="0.2">
      <c r="A58" s="66">
        <v>50</v>
      </c>
      <c r="B58" s="67" t="s">
        <v>182</v>
      </c>
      <c r="C58" s="222"/>
      <c r="D58" s="222"/>
      <c r="E58" s="223"/>
      <c r="F58" s="222">
        <f>кмс!Y61+МАКС!Y61+сол!Y61</f>
        <v>0</v>
      </c>
      <c r="G58" s="130">
        <v>2100</v>
      </c>
      <c r="H58" s="130">
        <f>VALUE(G58*I58/100)+324</f>
        <v>872.73</v>
      </c>
      <c r="I58" s="221">
        <v>26.13</v>
      </c>
      <c r="J58" s="222">
        <f>кмс!AB61+МАКС!AB61+сол!AB61</f>
        <v>2000</v>
      </c>
      <c r="K58" s="224"/>
      <c r="L58" s="224">
        <f t="shared" si="15"/>
        <v>0</v>
      </c>
      <c r="M58" s="223"/>
      <c r="N58" s="222">
        <f>кмс!AE61+МАКС!AE61+сол!AE61</f>
        <v>0</v>
      </c>
      <c r="O58" s="130">
        <v>201</v>
      </c>
      <c r="P58" s="130">
        <f t="shared" si="16"/>
        <v>46.290300000000009</v>
      </c>
      <c r="Q58" s="223">
        <v>23.03</v>
      </c>
      <c r="R58" s="222">
        <f>кмс!AH61+МАКС!AH61+сол!AH61</f>
        <v>1000</v>
      </c>
      <c r="S58" s="227">
        <v>848</v>
      </c>
      <c r="T58" s="227">
        <f t="shared" si="17"/>
        <v>0</v>
      </c>
      <c r="U58" s="223"/>
      <c r="V58" s="222">
        <f>кмс!AK61+МАКС!AK61+сол!AK61</f>
        <v>2000</v>
      </c>
      <c r="W58" s="130">
        <f t="shared" si="18"/>
        <v>0</v>
      </c>
      <c r="X58" s="130"/>
      <c r="Y58" s="223"/>
      <c r="Z58" s="240">
        <f>сол!AN61+МАКС!AN61+кмс!AN61</f>
        <v>0</v>
      </c>
      <c r="AA58" s="130"/>
      <c r="AB58" s="227">
        <f t="shared" si="19"/>
        <v>0</v>
      </c>
      <c r="AC58" s="223"/>
      <c r="AD58" s="240">
        <f>кмс!AQ61+МАКС!AQ61+сол!AQ61</f>
        <v>0</v>
      </c>
    </row>
    <row r="59" spans="1:30" ht="15" x14ac:dyDescent="0.2">
      <c r="A59" s="66">
        <v>51</v>
      </c>
      <c r="B59" s="67" t="s">
        <v>178</v>
      </c>
      <c r="C59" s="222"/>
      <c r="D59" s="222"/>
      <c r="E59" s="223"/>
      <c r="F59" s="222" t="e">
        <f>кмс!#REF!+МАКС!#REF!+сол!#REF!</f>
        <v>#REF!</v>
      </c>
      <c r="G59" s="130"/>
      <c r="H59" s="130">
        <f t="shared" si="14"/>
        <v>0</v>
      </c>
      <c r="I59" s="221"/>
      <c r="J59" s="222" t="e">
        <f>кмс!#REF!+МАКС!#REF!+сол!#REF!</f>
        <v>#REF!</v>
      </c>
      <c r="K59" s="224"/>
      <c r="L59" s="224">
        <f t="shared" si="15"/>
        <v>0</v>
      </c>
      <c r="M59" s="223"/>
      <c r="N59" s="222" t="e">
        <f>кмс!#REF!+МАКС!#REF!+сол!#REF!</f>
        <v>#REF!</v>
      </c>
      <c r="O59" s="130">
        <v>5000</v>
      </c>
      <c r="P59" s="130">
        <f t="shared" si="16"/>
        <v>1151.5</v>
      </c>
      <c r="Q59" s="223">
        <v>23.03</v>
      </c>
      <c r="R59" s="222" t="e">
        <f>кмс!#REF!+МАКС!#REF!+сол!#REF!</f>
        <v>#REF!</v>
      </c>
      <c r="S59" s="227"/>
      <c r="T59" s="227">
        <f t="shared" si="17"/>
        <v>0</v>
      </c>
      <c r="U59" s="223"/>
      <c r="V59" s="222" t="e">
        <f>кмс!#REF!+МАКС!#REF!+сол!#REF!</f>
        <v>#REF!</v>
      </c>
      <c r="W59" s="130">
        <f t="shared" si="18"/>
        <v>0</v>
      </c>
      <c r="X59" s="130"/>
      <c r="Y59" s="223"/>
      <c r="Z59" s="240" t="e">
        <f>сол!#REF!+МАКС!#REF!+кмс!#REF!</f>
        <v>#REF!</v>
      </c>
      <c r="AA59" s="130"/>
      <c r="AB59" s="227">
        <f t="shared" si="19"/>
        <v>0</v>
      </c>
      <c r="AC59" s="223"/>
      <c r="AD59" s="240" t="e">
        <f>кмс!#REF!+МАКС!#REF!+сол!#REF!</f>
        <v>#REF!</v>
      </c>
    </row>
    <row r="60" spans="1:30" ht="15" x14ac:dyDescent="0.2">
      <c r="A60" s="66">
        <v>52</v>
      </c>
      <c r="B60" s="92" t="s">
        <v>98</v>
      </c>
      <c r="C60" s="222"/>
      <c r="D60" s="222"/>
      <c r="E60" s="223"/>
      <c r="F60" s="222">
        <f>кмс!Y62+МАКС!Y62+сол!Y62</f>
        <v>0</v>
      </c>
      <c r="G60" s="130"/>
      <c r="H60" s="130">
        <f t="shared" si="14"/>
        <v>0</v>
      </c>
      <c r="I60" s="221"/>
      <c r="J60" s="222">
        <f>кмс!AB62+МАКС!AB62+сол!AB62</f>
        <v>0</v>
      </c>
      <c r="K60" s="224"/>
      <c r="L60" s="224">
        <f t="shared" si="15"/>
        <v>0</v>
      </c>
      <c r="M60" s="223"/>
      <c r="N60" s="222">
        <f>кмс!AE62+МАКС!AE62+сол!AE62</f>
        <v>0</v>
      </c>
      <c r="O60" s="130">
        <v>12000</v>
      </c>
      <c r="P60" s="130">
        <f t="shared" si="16"/>
        <v>3495.6</v>
      </c>
      <c r="Q60" s="223">
        <v>29.13</v>
      </c>
      <c r="R60" s="222">
        <f>кмс!AH62+МАКС!AH62+сол!AH62</f>
        <v>9500</v>
      </c>
      <c r="S60" s="227"/>
      <c r="T60" s="227">
        <f t="shared" si="17"/>
        <v>0</v>
      </c>
      <c r="U60" s="223">
        <v>29.13</v>
      </c>
      <c r="V60" s="222">
        <f>кмс!AK62+МАКС!AK62+сол!AK62</f>
        <v>3336</v>
      </c>
      <c r="W60" s="130">
        <f t="shared" si="18"/>
        <v>0</v>
      </c>
      <c r="X60" s="130"/>
      <c r="Y60" s="223">
        <v>29.13</v>
      </c>
      <c r="Z60" s="240">
        <f>сол!AN62+МАКС!AN62+кмс!AN62</f>
        <v>0</v>
      </c>
      <c r="AA60" s="130"/>
      <c r="AB60" s="227">
        <f t="shared" si="19"/>
        <v>0</v>
      </c>
      <c r="AC60" s="223">
        <v>29.13</v>
      </c>
      <c r="AD60" s="240">
        <f>кмс!AQ62+МАКС!AQ62+сол!AQ62</f>
        <v>0</v>
      </c>
    </row>
    <row r="61" spans="1:30" ht="15" x14ac:dyDescent="0.2">
      <c r="A61" s="66">
        <v>53</v>
      </c>
      <c r="B61" s="92" t="s">
        <v>99</v>
      </c>
      <c r="C61" s="222"/>
      <c r="D61" s="222"/>
      <c r="E61" s="223"/>
      <c r="F61" s="222">
        <f>кмс!Y63+МАКС!Y63+сол!Y63</f>
        <v>0</v>
      </c>
      <c r="G61" s="130"/>
      <c r="H61" s="130">
        <f t="shared" si="14"/>
        <v>0</v>
      </c>
      <c r="I61" s="221"/>
      <c r="J61" s="222">
        <f>кмс!AB63+МАКС!AB63+сол!AB63</f>
        <v>0</v>
      </c>
      <c r="K61" s="224"/>
      <c r="L61" s="224">
        <f t="shared" si="15"/>
        <v>0</v>
      </c>
      <c r="M61" s="223"/>
      <c r="N61" s="222">
        <f>кмс!AE63+МАКС!AE63+сол!AE63</f>
        <v>0</v>
      </c>
      <c r="O61" s="130">
        <v>30000</v>
      </c>
      <c r="P61" s="130">
        <f t="shared" si="16"/>
        <v>19053</v>
      </c>
      <c r="Q61" s="223">
        <v>63.51</v>
      </c>
      <c r="R61" s="222">
        <f>кмс!AH63+МАКС!AH63+сол!AH63</f>
        <v>30500</v>
      </c>
      <c r="S61" s="227"/>
      <c r="T61" s="227">
        <f t="shared" si="17"/>
        <v>0</v>
      </c>
      <c r="U61" s="223">
        <v>63.51</v>
      </c>
      <c r="V61" s="222">
        <f>кмс!AK63+МАКС!AK63+сол!AK63</f>
        <v>5160</v>
      </c>
      <c r="W61" s="130">
        <f t="shared" si="18"/>
        <v>0</v>
      </c>
      <c r="X61" s="130"/>
      <c r="Y61" s="223">
        <v>63.51</v>
      </c>
      <c r="Z61" s="240">
        <f>сол!AN63+МАКС!AN63+кмс!AN63</f>
        <v>0</v>
      </c>
      <c r="AA61" s="130"/>
      <c r="AB61" s="227">
        <f t="shared" si="19"/>
        <v>0</v>
      </c>
      <c r="AC61" s="223">
        <v>63.51</v>
      </c>
      <c r="AD61" s="240">
        <f>кмс!AQ63+МАКС!AQ63+сол!AQ63</f>
        <v>0</v>
      </c>
    </row>
    <row r="62" spans="1:30" ht="15" x14ac:dyDescent="0.2">
      <c r="A62" s="66">
        <v>54</v>
      </c>
      <c r="B62" s="92" t="s">
        <v>103</v>
      </c>
      <c r="C62" s="222"/>
      <c r="D62" s="222"/>
      <c r="E62" s="223"/>
      <c r="F62" s="222">
        <f>кмс!Y64+МАКС!Y64+сол!Y64</f>
        <v>0</v>
      </c>
      <c r="G62" s="130"/>
      <c r="H62" s="130">
        <f t="shared" si="14"/>
        <v>0</v>
      </c>
      <c r="I62" s="221"/>
      <c r="J62" s="222">
        <f>кмс!AB64+МАКС!AB64+сол!AB64</f>
        <v>0</v>
      </c>
      <c r="K62" s="224"/>
      <c r="L62" s="224">
        <f t="shared" si="15"/>
        <v>0</v>
      </c>
      <c r="M62" s="223"/>
      <c r="N62" s="222">
        <f>кмс!AE64+МАКС!AE64+сол!AE64</f>
        <v>0</v>
      </c>
      <c r="O62" s="130">
        <v>35000</v>
      </c>
      <c r="P62" s="130">
        <f t="shared" si="16"/>
        <v>9033.5</v>
      </c>
      <c r="Q62" s="223">
        <v>25.81</v>
      </c>
      <c r="R62" s="222">
        <f>кмс!AH64+МАКС!AH64+сол!AH64</f>
        <v>31700</v>
      </c>
      <c r="S62" s="227"/>
      <c r="T62" s="227">
        <f t="shared" si="17"/>
        <v>0</v>
      </c>
      <c r="U62" s="223">
        <v>25.81</v>
      </c>
      <c r="V62" s="222">
        <f>кмс!AK64+МАКС!AK64+сол!AK64</f>
        <v>5100</v>
      </c>
      <c r="W62" s="130">
        <f t="shared" si="18"/>
        <v>0</v>
      </c>
      <c r="X62" s="130"/>
      <c r="Y62" s="223">
        <v>25.81</v>
      </c>
      <c r="Z62" s="240">
        <f>сол!AN64+МАКС!AN64+кмс!AN64</f>
        <v>0</v>
      </c>
      <c r="AA62" s="130"/>
      <c r="AB62" s="227">
        <f t="shared" si="19"/>
        <v>0</v>
      </c>
      <c r="AC62" s="223">
        <v>25.81</v>
      </c>
      <c r="AD62" s="240">
        <f>кмс!AQ64+МАКС!AQ64+сол!AQ64</f>
        <v>0</v>
      </c>
    </row>
    <row r="63" spans="1:30" ht="15" x14ac:dyDescent="0.2">
      <c r="A63" s="66">
        <v>55</v>
      </c>
      <c r="B63" s="92" t="s">
        <v>181</v>
      </c>
      <c r="C63" s="222"/>
      <c r="D63" s="222"/>
      <c r="E63" s="223"/>
      <c r="F63" s="222">
        <f>кмс!Y65+МАКС!Y65+сол!Y65</f>
        <v>0</v>
      </c>
      <c r="G63" s="130"/>
      <c r="H63" s="130">
        <f t="shared" si="14"/>
        <v>0</v>
      </c>
      <c r="I63" s="221"/>
      <c r="J63" s="222">
        <f>кмс!AB65+МАКС!AB65+сол!AB65</f>
        <v>0</v>
      </c>
      <c r="K63" s="224"/>
      <c r="L63" s="224">
        <f t="shared" si="15"/>
        <v>0</v>
      </c>
      <c r="M63" s="223"/>
      <c r="N63" s="222">
        <f>кмс!AE65+МАКС!AE65+сол!AE65</f>
        <v>0</v>
      </c>
      <c r="O63" s="130">
        <v>2000</v>
      </c>
      <c r="P63" s="130">
        <f t="shared" si="16"/>
        <v>251.6</v>
      </c>
      <c r="Q63" s="223">
        <v>12.58</v>
      </c>
      <c r="R63" s="222">
        <f>кмс!AH65+МАКС!AH65+сол!AH65</f>
        <v>3000</v>
      </c>
      <c r="S63" s="227"/>
      <c r="T63" s="227">
        <f t="shared" si="17"/>
        <v>0</v>
      </c>
      <c r="U63" s="223">
        <v>12.58</v>
      </c>
      <c r="V63" s="222">
        <f>кмс!AK65+МАКС!AK65+сол!AK65</f>
        <v>0</v>
      </c>
      <c r="W63" s="130">
        <f t="shared" si="18"/>
        <v>0</v>
      </c>
      <c r="X63" s="130"/>
      <c r="Y63" s="223">
        <v>12.58</v>
      </c>
      <c r="Z63" s="240">
        <f>сол!AN65+МАКС!AN65+кмс!AN65</f>
        <v>0</v>
      </c>
      <c r="AA63" s="130"/>
      <c r="AB63" s="227">
        <f t="shared" si="19"/>
        <v>0</v>
      </c>
      <c r="AC63" s="223">
        <v>12.58</v>
      </c>
      <c r="AD63" s="240">
        <f>кмс!AQ65+МАКС!AQ65+сол!AQ65</f>
        <v>0</v>
      </c>
    </row>
    <row r="64" spans="1:30" ht="15" x14ac:dyDescent="0.2">
      <c r="A64" s="66">
        <v>56</v>
      </c>
      <c r="B64" s="92" t="s">
        <v>180</v>
      </c>
      <c r="C64" s="222"/>
      <c r="D64" s="222"/>
      <c r="E64" s="223"/>
      <c r="F64" s="222">
        <f>кмс!Y66+МАКС!Y66+сол!Y66</f>
        <v>0</v>
      </c>
      <c r="G64" s="130"/>
      <c r="H64" s="130">
        <f t="shared" si="14"/>
        <v>0</v>
      </c>
      <c r="I64" s="221"/>
      <c r="J64" s="222">
        <f>кмс!AB66+МАКС!AB66+сол!AB66</f>
        <v>0</v>
      </c>
      <c r="K64" s="224"/>
      <c r="L64" s="224">
        <f t="shared" si="15"/>
        <v>0</v>
      </c>
      <c r="M64" s="223"/>
      <c r="N64" s="222">
        <f>кмс!AE66+МАКС!AE66+сол!AE66</f>
        <v>0</v>
      </c>
      <c r="O64" s="130">
        <v>17400</v>
      </c>
      <c r="P64" s="130">
        <f t="shared" si="16"/>
        <v>4007.22</v>
      </c>
      <c r="Q64" s="223">
        <v>23.03</v>
      </c>
      <c r="R64" s="222">
        <f>кмс!AH66+МАКС!AH66+сол!AH66</f>
        <v>10000</v>
      </c>
      <c r="S64" s="227"/>
      <c r="T64" s="227">
        <f t="shared" si="17"/>
        <v>0</v>
      </c>
      <c r="U64" s="223">
        <v>23.03</v>
      </c>
      <c r="V64" s="222">
        <f>кмс!AK66+МАКС!AK66+сол!AK66</f>
        <v>3350</v>
      </c>
      <c r="W64" s="130">
        <f t="shared" si="18"/>
        <v>0</v>
      </c>
      <c r="X64" s="130"/>
      <c r="Y64" s="223">
        <v>23.03</v>
      </c>
      <c r="Z64" s="240">
        <f>сол!AN66+МАКС!AN66+кмс!AN66</f>
        <v>0</v>
      </c>
      <c r="AA64" s="130"/>
      <c r="AB64" s="227">
        <f t="shared" si="19"/>
        <v>0</v>
      </c>
      <c r="AC64" s="223">
        <v>23.03</v>
      </c>
      <c r="AD64" s="240">
        <f>кмс!AQ66+МАКС!AQ66+сол!AQ66</f>
        <v>0</v>
      </c>
    </row>
    <row r="65" spans="1:30" ht="15" x14ac:dyDescent="0.2">
      <c r="A65" s="66">
        <v>57</v>
      </c>
      <c r="B65" s="92" t="s">
        <v>112</v>
      </c>
      <c r="C65" s="222"/>
      <c r="D65" s="222"/>
      <c r="E65" s="223"/>
      <c r="F65" s="222">
        <f>кмс!Y67+МАКС!Y67+сол!Y67</f>
        <v>0</v>
      </c>
      <c r="G65" s="130"/>
      <c r="H65" s="130">
        <f t="shared" si="14"/>
        <v>0</v>
      </c>
      <c r="I65" s="221"/>
      <c r="J65" s="222">
        <f>кмс!AB67+МАКС!AB67+сол!AB67</f>
        <v>0</v>
      </c>
      <c r="K65" s="224"/>
      <c r="L65" s="224">
        <f t="shared" si="15"/>
        <v>0</v>
      </c>
      <c r="M65" s="223"/>
      <c r="N65" s="222">
        <f>кмс!AE67+МАКС!AE67+сол!AE67</f>
        <v>0</v>
      </c>
      <c r="O65" s="130">
        <v>50400</v>
      </c>
      <c r="P65" s="130">
        <f t="shared" si="16"/>
        <v>30749.040000000001</v>
      </c>
      <c r="Q65" s="223">
        <v>61.01</v>
      </c>
      <c r="R65" s="222">
        <f>кмс!AH67+МАКС!AH67+сол!AH67</f>
        <v>44400</v>
      </c>
      <c r="S65" s="227"/>
      <c r="T65" s="227">
        <f t="shared" si="17"/>
        <v>0</v>
      </c>
      <c r="U65" s="223">
        <v>61.01</v>
      </c>
      <c r="V65" s="222">
        <f>кмс!AK67+МАКС!AK67+сол!AK67</f>
        <v>6866</v>
      </c>
      <c r="W65" s="130">
        <f t="shared" si="18"/>
        <v>0</v>
      </c>
      <c r="X65" s="130"/>
      <c r="Y65" s="223">
        <v>61.01</v>
      </c>
      <c r="Z65" s="240">
        <f>сол!AN67+МАКС!AN67+кмс!AN67</f>
        <v>0</v>
      </c>
      <c r="AA65" s="130"/>
      <c r="AB65" s="227">
        <f t="shared" si="19"/>
        <v>0</v>
      </c>
      <c r="AC65" s="223">
        <v>61.01</v>
      </c>
      <c r="AD65" s="240">
        <f>кмс!AQ67+МАКС!AQ67+сол!AQ67</f>
        <v>0</v>
      </c>
    </row>
    <row r="66" spans="1:30" ht="15" x14ac:dyDescent="0.2">
      <c r="A66" s="66">
        <v>58</v>
      </c>
      <c r="B66" s="67" t="s">
        <v>134</v>
      </c>
      <c r="C66" s="222"/>
      <c r="D66" s="222"/>
      <c r="E66" s="223"/>
      <c r="F66" s="222">
        <f>кмс!Y68+МАКС!Y68+сол!Y68</f>
        <v>0</v>
      </c>
      <c r="G66" s="130"/>
      <c r="H66" s="130">
        <f t="shared" si="14"/>
        <v>0</v>
      </c>
      <c r="I66" s="221"/>
      <c r="J66" s="222">
        <f>кмс!AB68+МАКС!AB68+сол!AB68</f>
        <v>0</v>
      </c>
      <c r="K66" s="224"/>
      <c r="L66" s="224">
        <f t="shared" si="15"/>
        <v>0</v>
      </c>
      <c r="M66" s="223"/>
      <c r="N66" s="222">
        <f>кмс!AE68+МАКС!AE68+сол!AE68</f>
        <v>0</v>
      </c>
      <c r="O66" s="130">
        <v>25000</v>
      </c>
      <c r="P66" s="130">
        <f t="shared" si="16"/>
        <v>15050</v>
      </c>
      <c r="Q66" s="223">
        <v>60.2</v>
      </c>
      <c r="R66" s="222">
        <f>кмс!AH68+МАКС!AH68+сол!AH68</f>
        <v>20100</v>
      </c>
      <c r="S66" s="227"/>
      <c r="T66" s="227">
        <f t="shared" si="17"/>
        <v>0</v>
      </c>
      <c r="U66" s="223">
        <v>60.2</v>
      </c>
      <c r="V66" s="222">
        <f>кмс!AK68+МАКС!AK68+сол!AK68</f>
        <v>4600</v>
      </c>
      <c r="W66" s="130">
        <f t="shared" si="18"/>
        <v>0</v>
      </c>
      <c r="X66" s="130"/>
      <c r="Y66" s="223">
        <v>60.2</v>
      </c>
      <c r="Z66" s="240">
        <f>сол!AN68+МАКС!AN68+кмс!AN68</f>
        <v>0</v>
      </c>
      <c r="AA66" s="130"/>
      <c r="AB66" s="227">
        <f t="shared" si="19"/>
        <v>0</v>
      </c>
      <c r="AC66" s="223">
        <v>60.2</v>
      </c>
      <c r="AD66" s="240">
        <f>кмс!AQ68+МАКС!AQ68+сол!AQ68</f>
        <v>0</v>
      </c>
    </row>
    <row r="67" spans="1:30" ht="15" x14ac:dyDescent="0.2">
      <c r="A67" s="66">
        <v>59</v>
      </c>
      <c r="B67" s="67" t="s">
        <v>135</v>
      </c>
      <c r="C67" s="222"/>
      <c r="D67" s="222"/>
      <c r="E67" s="223"/>
      <c r="F67" s="222">
        <f>кмс!Y69+МАКС!Y69+сол!Y69</f>
        <v>0</v>
      </c>
      <c r="G67" s="130"/>
      <c r="H67" s="130">
        <f t="shared" si="14"/>
        <v>0</v>
      </c>
      <c r="I67" s="221"/>
      <c r="J67" s="222">
        <f>кмс!AB69+МАКС!AB69+сол!AB69</f>
        <v>0</v>
      </c>
      <c r="K67" s="224"/>
      <c r="L67" s="224">
        <f t="shared" si="15"/>
        <v>0</v>
      </c>
      <c r="M67" s="223"/>
      <c r="N67" s="222">
        <f>кмс!AE69+МАКС!AE69+сол!AE69</f>
        <v>0</v>
      </c>
      <c r="O67" s="130">
        <v>12000</v>
      </c>
      <c r="P67" s="130">
        <f t="shared" si="16"/>
        <v>6880.8</v>
      </c>
      <c r="Q67" s="223">
        <v>57.34</v>
      </c>
      <c r="R67" s="222">
        <f>кмс!AH69+МАКС!AH69+сол!AH69</f>
        <v>6900</v>
      </c>
      <c r="S67" s="227"/>
      <c r="T67" s="227">
        <f t="shared" si="17"/>
        <v>0</v>
      </c>
      <c r="U67" s="223">
        <v>57.34</v>
      </c>
      <c r="V67" s="222">
        <f>кмс!AK69+МАКС!AK69+сол!AK69</f>
        <v>2360</v>
      </c>
      <c r="W67" s="130">
        <f t="shared" si="18"/>
        <v>0</v>
      </c>
      <c r="X67" s="130"/>
      <c r="Y67" s="223">
        <v>57.34</v>
      </c>
      <c r="Z67" s="240">
        <f>сол!AN69+МАКС!AN69+кмс!AN69</f>
        <v>0</v>
      </c>
      <c r="AA67" s="130"/>
      <c r="AB67" s="227">
        <f t="shared" si="19"/>
        <v>0</v>
      </c>
      <c r="AC67" s="223">
        <v>57.34</v>
      </c>
      <c r="AD67" s="240">
        <f>кмс!AQ69+МАКС!AQ69+сол!AQ69</f>
        <v>0</v>
      </c>
    </row>
    <row r="68" spans="1:30" ht="15" x14ac:dyDescent="0.2">
      <c r="A68" s="66">
        <v>60</v>
      </c>
      <c r="B68" s="67" t="s">
        <v>179</v>
      </c>
      <c r="C68" s="222"/>
      <c r="D68" s="222"/>
      <c r="E68" s="223"/>
      <c r="F68" s="222">
        <f>кмс!Y70+МАКС!Y70+сол!Y70</f>
        <v>0</v>
      </c>
      <c r="G68" s="130"/>
      <c r="H68" s="130">
        <f t="shared" si="14"/>
        <v>0</v>
      </c>
      <c r="I68" s="221"/>
      <c r="J68" s="222">
        <f>кмс!AB70+МАКС!AB70+сол!AB70</f>
        <v>0</v>
      </c>
      <c r="K68" s="224"/>
      <c r="L68" s="224">
        <f t="shared" si="15"/>
        <v>0</v>
      </c>
      <c r="M68" s="223"/>
      <c r="N68" s="222">
        <f>кмс!AE70+МАКС!AE70+сол!AE70</f>
        <v>0</v>
      </c>
      <c r="O68" s="130">
        <v>7920</v>
      </c>
      <c r="P68" s="130">
        <f t="shared" si="16"/>
        <v>1823.9760000000001</v>
      </c>
      <c r="Q68" s="223">
        <v>23.03</v>
      </c>
      <c r="R68" s="222">
        <f>кмс!AH70+МАКС!AH70+сол!AH70</f>
        <v>0</v>
      </c>
      <c r="S68" s="227"/>
      <c r="T68" s="227">
        <f t="shared" si="17"/>
        <v>0</v>
      </c>
      <c r="U68" s="223"/>
      <c r="V68" s="222">
        <f>кмс!AK70+МАКС!AK70+сол!AK70</f>
        <v>0</v>
      </c>
      <c r="W68" s="130">
        <f t="shared" si="18"/>
        <v>0</v>
      </c>
      <c r="X68" s="130"/>
      <c r="Y68" s="223"/>
      <c r="Z68" s="240">
        <f>сол!AN70+МАКС!AN70+кмс!AN70</f>
        <v>0</v>
      </c>
      <c r="AA68" s="130"/>
      <c r="AB68" s="227">
        <f t="shared" si="19"/>
        <v>0</v>
      </c>
      <c r="AC68" s="223"/>
      <c r="AD68" s="240">
        <f>кмс!AQ70+МАКС!AQ70+сол!AQ70</f>
        <v>0</v>
      </c>
    </row>
    <row r="69" spans="1:30" ht="15" x14ac:dyDescent="0.2">
      <c r="A69" s="67">
        <v>61</v>
      </c>
      <c r="B69" s="67" t="s">
        <v>169</v>
      </c>
      <c r="C69" s="222"/>
      <c r="D69" s="222"/>
      <c r="E69" s="223"/>
      <c r="F69" s="222">
        <f>кмс!Y71+МАКС!Y71+сол!Y71</f>
        <v>0</v>
      </c>
      <c r="G69" s="130">
        <v>5000</v>
      </c>
      <c r="H69" s="130">
        <f t="shared" si="14"/>
        <v>2767.5</v>
      </c>
      <c r="I69" s="221">
        <v>55.35</v>
      </c>
      <c r="J69" s="222">
        <f>кмс!AB71+МАКС!AB71+сол!AB71</f>
        <v>6000</v>
      </c>
      <c r="K69" s="224"/>
      <c r="L69" s="224">
        <f t="shared" si="15"/>
        <v>0</v>
      </c>
      <c r="M69" s="223"/>
      <c r="N69" s="222">
        <f>кмс!AE71+МАКС!AE71+сол!AE71</f>
        <v>0</v>
      </c>
      <c r="O69" s="130">
        <v>6331</v>
      </c>
      <c r="P69" s="130">
        <f t="shared" si="16"/>
        <v>74.072699999999998</v>
      </c>
      <c r="Q69" s="223">
        <v>1.17</v>
      </c>
      <c r="R69" s="222">
        <f>кмс!AH71+МАКС!AH71+сол!AH71</f>
        <v>14000</v>
      </c>
      <c r="S69" s="227">
        <v>7628</v>
      </c>
      <c r="T69" s="227">
        <f t="shared" si="17"/>
        <v>89.247600000000006</v>
      </c>
      <c r="U69" s="223">
        <v>1.17</v>
      </c>
      <c r="V69" s="222">
        <f>кмс!AK71+МАКС!AK71+сол!AK71</f>
        <v>3200</v>
      </c>
      <c r="W69" s="130">
        <f t="shared" si="18"/>
        <v>0</v>
      </c>
      <c r="X69" s="130"/>
      <c r="Y69" s="223">
        <v>1.17</v>
      </c>
      <c r="Z69" s="240">
        <f>сол!AN71+МАКС!AN71+кмс!AN71</f>
        <v>0</v>
      </c>
      <c r="AA69" s="130"/>
      <c r="AB69" s="227">
        <f t="shared" si="19"/>
        <v>0</v>
      </c>
      <c r="AC69" s="223">
        <v>1.17</v>
      </c>
      <c r="AD69" s="240">
        <f>кмс!AQ71+МАКС!AQ71+сол!AQ71</f>
        <v>0</v>
      </c>
    </row>
    <row r="70" spans="1:30" ht="15" x14ac:dyDescent="0.2">
      <c r="A70" s="67">
        <v>62</v>
      </c>
      <c r="B70" s="67" t="s">
        <v>168</v>
      </c>
      <c r="C70" s="222"/>
      <c r="D70" s="222"/>
      <c r="E70" s="223"/>
      <c r="F70" s="222">
        <f>кмс!Y72+МАКС!Y72+сол!Y72</f>
        <v>0</v>
      </c>
      <c r="G70" s="130">
        <v>3000</v>
      </c>
      <c r="H70" s="130">
        <f t="shared" si="14"/>
        <v>1006.2</v>
      </c>
      <c r="I70" s="221">
        <v>33.54</v>
      </c>
      <c r="J70" s="222">
        <f>кмс!AB72+МАКС!AB72+сол!AB72</f>
        <v>4000</v>
      </c>
      <c r="K70" s="224"/>
      <c r="L70" s="224">
        <f t="shared" si="15"/>
        <v>0</v>
      </c>
      <c r="M70" s="223"/>
      <c r="N70" s="222">
        <f>кмс!AE72+МАКС!AE72+сол!AE72</f>
        <v>0</v>
      </c>
      <c r="O70" s="130">
        <v>5367</v>
      </c>
      <c r="P70" s="130">
        <f t="shared" si="16"/>
        <v>2596.0178999999998</v>
      </c>
      <c r="Q70" s="223">
        <v>48.37</v>
      </c>
      <c r="R70" s="222">
        <f>кмс!AH72+МАКС!AH72+сол!AH72</f>
        <v>14000</v>
      </c>
      <c r="S70" s="227">
        <v>6465</v>
      </c>
      <c r="T70" s="227">
        <f t="shared" si="17"/>
        <v>3127.1205</v>
      </c>
      <c r="U70" s="223">
        <v>48.37</v>
      </c>
      <c r="V70" s="222">
        <f>кмс!AK72+МАКС!AK72+сол!AK72</f>
        <v>3500</v>
      </c>
      <c r="W70" s="130">
        <f t="shared" si="18"/>
        <v>0</v>
      </c>
      <c r="X70" s="130"/>
      <c r="Y70" s="223">
        <v>48.37</v>
      </c>
      <c r="Z70" s="240">
        <f>сол!AN72+МАКС!AN72+кмс!AN72</f>
        <v>0</v>
      </c>
      <c r="AA70" s="130"/>
      <c r="AB70" s="227">
        <f t="shared" si="19"/>
        <v>0</v>
      </c>
      <c r="AC70" s="223">
        <v>48.37</v>
      </c>
      <c r="AD70" s="240">
        <f>кмс!AQ72+МАКС!AQ72+сол!AQ72</f>
        <v>0</v>
      </c>
    </row>
    <row r="71" spans="1:30" ht="15.75" x14ac:dyDescent="0.25">
      <c r="A71" s="1"/>
      <c r="B71" s="94" t="s">
        <v>136</v>
      </c>
      <c r="C71" s="214">
        <f t="shared" ref="C71:AB71" si="20">C54+C15+C6</f>
        <v>1266642</v>
      </c>
      <c r="D71" s="214">
        <f t="shared" si="20"/>
        <v>328687.48670000001</v>
      </c>
      <c r="E71" s="230">
        <f>VALUE(D71/C71*100)</f>
        <v>25.949517440602794</v>
      </c>
      <c r="F71" s="214" t="e">
        <f t="shared" si="20"/>
        <v>#REF!</v>
      </c>
      <c r="G71" s="214">
        <f t="shared" si="20"/>
        <v>455723</v>
      </c>
      <c r="H71" s="214">
        <f t="shared" si="20"/>
        <v>119952.72580000004</v>
      </c>
      <c r="I71" s="230">
        <f>VALUE(H71/G71*100)</f>
        <v>26.321411427555784</v>
      </c>
      <c r="J71" s="214" t="e">
        <f t="shared" si="20"/>
        <v>#REF!</v>
      </c>
      <c r="K71" s="214">
        <f t="shared" si="20"/>
        <v>239705</v>
      </c>
      <c r="L71" s="214">
        <f t="shared" si="20"/>
        <v>0</v>
      </c>
      <c r="M71" s="230">
        <f>VALUE(L71/K71*100)</f>
        <v>0</v>
      </c>
      <c r="N71" s="214" t="e">
        <f t="shared" si="20"/>
        <v>#REF!</v>
      </c>
      <c r="O71" s="214">
        <f t="shared" si="20"/>
        <v>2124269</v>
      </c>
      <c r="P71" s="214">
        <f t="shared" si="20"/>
        <v>460793.78440000006</v>
      </c>
      <c r="Q71" s="230">
        <f>VALUE(P71/O71*100)</f>
        <v>21.691875388663114</v>
      </c>
      <c r="R71" s="214" t="e">
        <f t="shared" si="20"/>
        <v>#REF!</v>
      </c>
      <c r="S71" s="214">
        <f t="shared" si="20"/>
        <v>1265109</v>
      </c>
      <c r="T71" s="214">
        <f t="shared" si="20"/>
        <v>328713.4094</v>
      </c>
      <c r="U71" s="230">
        <f>VALUE(T71/S71*100)</f>
        <v>25.983010902617877</v>
      </c>
      <c r="V71" s="214" t="e">
        <f t="shared" si="20"/>
        <v>#REF!</v>
      </c>
      <c r="W71" s="214">
        <f t="shared" si="20"/>
        <v>211740</v>
      </c>
      <c r="X71" s="214">
        <f t="shared" si="20"/>
        <v>56395.377000000008</v>
      </c>
      <c r="Y71" s="230">
        <f>VALUE(X71/W71*100)</f>
        <v>26.634257580051006</v>
      </c>
      <c r="Z71" s="214" t="e">
        <f t="shared" si="20"/>
        <v>#REF!</v>
      </c>
      <c r="AA71" s="214">
        <f t="shared" si="20"/>
        <v>19172</v>
      </c>
      <c r="AB71" s="229">
        <f t="shared" si="20"/>
        <v>4811.3528000000006</v>
      </c>
      <c r="AC71" s="230">
        <f>VALUE(AB71/AA71*100)</f>
        <v>25.09572710202379</v>
      </c>
      <c r="AD71" s="214" t="e">
        <f>AD54+AD15+AD6</f>
        <v>#REF!</v>
      </c>
    </row>
  </sheetData>
  <mergeCells count="10">
    <mergeCell ref="C3:AA3"/>
    <mergeCell ref="A54:B54"/>
    <mergeCell ref="W4:Y4"/>
    <mergeCell ref="AA4:AC4"/>
    <mergeCell ref="A6:B6"/>
    <mergeCell ref="A15:B15"/>
    <mergeCell ref="A4:B4"/>
    <mergeCell ref="C4:E4"/>
    <mergeCell ref="G4:I4"/>
    <mergeCell ref="K4:U4"/>
  </mergeCells>
  <phoneticPr fontId="0" type="noConversion"/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opLeftCell="M1" workbookViewId="0">
      <selection activeCell="U27" sqref="U27"/>
    </sheetView>
  </sheetViews>
  <sheetFormatPr defaultRowHeight="12.75" x14ac:dyDescent="0.2"/>
  <cols>
    <col min="6" max="6" width="10.28515625" bestFit="1" customWidth="1"/>
    <col min="26" max="26" width="10.7109375" bestFit="1" customWidth="1"/>
  </cols>
  <sheetData>
    <row r="1" spans="1:29" x14ac:dyDescent="0.2">
      <c r="A1" s="2"/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253</v>
      </c>
      <c r="X1" s="119"/>
      <c r="Z1" s="19"/>
      <c r="AA1" s="118" t="s">
        <v>254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f>судисл!B4+нерехта!B4+ик1!B4+увд!B4+красное!B4+дет!B4+'2МО'!B4+роддом!B4+бог!B4+вохма!B4+межа!B4+кадый!B4+чухл!B4+орех!B4+галич!B4+остр!B4+волг!B4+кард!B4+областн!B4+Рожд!B4+шар!B4+поназ!B4+мант!B4+мак!B4+солиг!B4+кожн!B4+ФГУ!B4+муз1!B4+пыщ!B4+госп!B4+костр!B4+пав!B4+нея!B4+пар!B4+сус!B4+кол!B4+буй!B4+ант!B4+ОНКО!B4+цах!B4+узшар!B4+боб!B4+гавр!B4+цвд!B4+пол4!B4+спас!B4+эстетика!B4+чародей!B4+зубик!B4+ПРОЗР!B4+цпс!B4+азимут!B4+стдв!B4+ст.нер!B4+КРИСТ!B4+обл.ст!B4+стом1!B4+центр!B4+оптима!B4+нэс!B4+КРИСТ!B4</f>
        <v>95888</v>
      </c>
      <c r="C4" s="22"/>
      <c r="D4" s="22"/>
      <c r="E4" s="22"/>
      <c r="F4" s="22">
        <f>судисл!F4+нерехта!F4+ик1!F4+увд!F4+красное!F4+дет!F4+'2МО'!F4+роддом!F4+бог!F4+вохма!F4+межа!F4+кадый!F4+чухл!F4+орех!F4+галич!F4+остр!F4+волг!F4+кард!F4+областн!F4+Рожд!F4+шар!F4+поназ!F4+мант!F4+мак!F4+солиг!F4+кожн!F4+ФГУ!F4+муз1!F4+пыщ!F4+госп!F4+костр!F4+пав!F4+нея!F4+пар!F4+сус!F4+кол!F4+буй!F4+ант!F4+ОНКО!F4+цах!F4+узшар!F4+боб!F4+гавр!F4+цвд!F4+пол4!F4+спас!F4+эстетика!F4+чародей!F4+зубик!F4+ПРОЗР!F4+цпс!F4+азимут!F4+стдв!F4+ст.нер!F4+КРИСТ!F4+обл.ст!F4+стом1!F4+центр!F4+оптима!F4+нэс!F4+КРИСТ!F4</f>
        <v>33125</v>
      </c>
      <c r="G4" s="22"/>
      <c r="H4" s="22"/>
      <c r="I4" s="125"/>
      <c r="J4" s="22">
        <f>судисл!J4+нерехта!J4+ик1!J4+увд!J4+красное!J4+дет!J4+'2МО'!J4+роддом!J4+бог!J4+вохма!J4+межа!J4+кадый!J4+чухл!J4+орех!J4+галич!J4+остр!J4+волг!J4+кард!J4+областн!J4+Рожд!J4+шар!J4+поназ!J4+мант!J4+мак!J4+солиг!J4+кожн!J4+ФГУ!J4+муз1!J4+пыщ!J4+госп!J4+костр!J4+пав!J4+нея!J4+пар!J4+сус!J4+кол!J4+буй!J4+ант!J4+ОНКО!J4+цах!J4+узшар!J4+боб!J4+гавр!J4+цвд!J4+пол4!J4+спас!J4+эстетика!J4+чародей!J4+зубик!J4+ПРОЗР!J4+цпс!J4+азимут!J4+стдв!J4+ст.нер!J4+КРИСТ!J4+обл.ст!J4+стом1!J4+центр!J4+оптима!J4+нэс!J4+КРИСТ!J4</f>
        <v>156132</v>
      </c>
      <c r="K4" s="22"/>
      <c r="L4" s="22"/>
      <c r="M4" s="22"/>
      <c r="N4" s="22">
        <f>судисл!N4+нерехта!N4+ик1!N4+увд!N4+красное!N4+дет!N4+'2МО'!N4+роддом!N4+бог!N4+вохма!N4+межа!N4+кадый!N4+чухл!N4+орех!N4+галич!N4+остр!N4+волг!N4+кард!N4+областн!N4+Рожд!N4+шар!N4+поназ!N4+мант!N4+мак!N4+солиг!N4+кожн!N4+ФГУ!N4+муз1!N4+пыщ!N4+госп!N4+костр!N4+пав!N4+нея!N4+пар!N4+сус!N4+кол!N4+буй!N4+ант!N4+ОНКО!N4+цах!N4+узшар!N4+боб!N4+гавр!N4+цвд!N4+пол4!N4+спас!N4+эстетика!N4+чародей!N4+зубик!N4+ПРОЗР!N4+цпс!N4+азимут!N4+стдв!N4+ст.нер!N4+КРИСТ!N4+обл.ст!N4+стом1!N4+центр!N4+оптима!N4+нэс!N4+КРИСТ!N4</f>
        <v>92627</v>
      </c>
      <c r="O4" s="22"/>
      <c r="P4" s="22"/>
      <c r="Q4" s="22"/>
      <c r="R4" s="22">
        <f>судисл!R4+нерехта!R4+ик1!R4+увд!R4+красное!R4+дет!R4+'2МО'!R4+роддом!R4+бог!R4+вохма!R4+межа!R4+кадый!R4+чухл!R4+орех!R4+галич!R4+остр!R4+волг!R4+кард!R4+областн!R4+Рожд!R4+шар!R4+поназ!R4+мант!R4+мак!R4+солиг!R4+кожн!R4+ФГУ!R4+муз1!R4+пыщ!R4+госп!R4+костр!R4+пав!R4+нея!R4+пар!R4+сус!R4+кол!R4+буй!R4+ант!R4+ОНКО!R4+цах!R4+узшар!R4+боб!R4+гавр!R4+цвд!R4+пол4!R4+спас!R4+эстетика!R4+чародей!R4+зубик!R4+ПРОЗР!R4+цпс!R4+азимут!R4+стдв!R4+ст.нер!R4+КРИСТ!R4+обл.ст!R4+стом1!R4+центр!R4+оптима!R4+нэс!R4+КРИСТ!R4</f>
        <v>13515</v>
      </c>
      <c r="S4" s="22"/>
      <c r="T4" s="22"/>
      <c r="U4" s="22"/>
      <c r="V4" s="22">
        <f>судисл!V4+нерехта!V4+ик1!V4+увд!V4+красное!V4+дет!V4+'2МО'!V4+роддом!V4+бог!V4+вохма!V4+межа!V4+кадый!V4+чухл!V4+орех!V4+галич!V4+остр!V4+волг!V4+кард!V4+областн!V4+Рожд!V4+шар!V4+поназ!V4+мант!V4+мак!V4+солиг!V4+кожн!V4+ФГУ!V4+муз1!V4+пыщ!V4+госп!V4+костр!V4+пав!V4+нея!V4+пар!V4+сус!V4+кол!V4+буй!V4+ант!V4+ОНКО!V4+цах!V4+узшар!V4+боб!V4+гавр!V4+цвд!V4+пол4!V4+спас!V4+эстетика!V4+чародей!V4+зубик!V4+ПРОЗР!V4+цпс!V4+азимут!V4+стдв!V4+ст.нер!V4+КРИСТ!V4+обл.ст!V4+стом1!V4+центр!V4+оптима!V4+нэс!V4+КРИСТ!V4+смп!V4</f>
        <v>14496</v>
      </c>
      <c r="W4" s="22"/>
      <c r="X4" s="22"/>
      <c r="Y4" s="22"/>
      <c r="Z4" s="22">
        <f>галич!Z4+шар!Z4+муз1!Z4+нэс!Z4</f>
        <v>1535</v>
      </c>
      <c r="AA4" s="22"/>
      <c r="AB4" s="22"/>
      <c r="AC4" s="22"/>
    </row>
    <row r="5" spans="1:29" x14ac:dyDescent="0.2">
      <c r="A5" s="1" t="s">
        <v>7</v>
      </c>
      <c r="B5" s="22">
        <f>судисл!B5+нерехта!B5+ик1!B5+увд!B5+красное!B5+дет!B5+'2МО'!B5+роддом!B5+бог!B5+вохма!B5+межа!B5+кадый!B5+чухл!B5+орех!B5+галич!B5+остр!B5+волг!B5+кард!B5+областн!B5+Рожд!B5+шар!B5+поназ!B5+мант!B5+мак!B5+солиг!B5+кожн!B5+ФГУ!B5+муз1!B5+пыщ!B5+госп!B5+костр!B5+пав!B5+нея!B5+пар!B5+сус!B5+кол!B5+буй!B5+ант!B5+ОНКО!B5+цах!B5+узшар!B5+боб!B5+гавр!B5+цвд!B5+пол4!B5+спас!B5+эстетика!B5+чародей!B5+зубик!B5+ПРОЗР!B5+цпс!B5+азимут!B5+стдв!B5+ст.нер!B5+КРИСТ!B5+обл.ст!B5+стом1!B5+центр!B5+оптима!B5+нэс!B5+КРИСТ!B5</f>
        <v>102217</v>
      </c>
      <c r="C5" s="22"/>
      <c r="D5" s="22"/>
      <c r="E5" s="22"/>
      <c r="F5" s="22">
        <f>судисл!F5+нерехта!F5+ик1!F5+увд!F5+красное!F5+дет!F5+'2МО'!F5+роддом!F5+бог!F5+вохма!F5+межа!F5+кадый!F5+чухл!F5+орех!F5+галич!F5+остр!F5+волг!F5+кард!F5+областн!F5+Рожд!F5+шар!F5+поназ!F5+мант!F5+мак!F5+солиг!F5+кожн!F5+ФГУ!F5+муз1!F5+пыщ!F5+госп!F5+костр!F5+пав!F5+нея!F5+пар!F5+сус!F5+кол!F5+буй!F5+ант!F5+ОНКО!F5+цах!F5+узшар!F5+боб!F5+гавр!F5+цвд!F5+пол4!F5+спас!F5+эстетика!F5+чародей!F5+зубик!F5+ПРОЗР!F5+цпс!F5+азимут!F5+стдв!F5+ст.нер!F5+КРИСТ!F5+обл.ст!F5+стом1!F5+центр!F5+оптима!F5+нэс!F5+КРИСТ!F5</f>
        <v>36879</v>
      </c>
      <c r="G5" s="22"/>
      <c r="H5" s="22"/>
      <c r="I5" s="125"/>
      <c r="J5" s="22">
        <f>судисл!J5+нерехта!J5+ик1!J5+увд!J5+красное!J5+дет!J5+'2МО'!J5+роддом!J5+бог!J5+вохма!J5+межа!J5+кадый!J5+чухл!J5+орех!J5+галич!J5+остр!J5+волг!J5+кард!J5+областн!J5+Рожд!J5+шар!J5+поназ!J5+мант!J5+мак!J5+солиг!J5+кожн!J5+ФГУ!J5+муз1!J5+пыщ!J5+госп!J5+костр!J5+пав!J5+нея!J5+пар!J5+сус!J5+кол!J5+буй!J5+ант!J5+ОНКО!J5+цах!J5+узшар!J5+боб!J5+гавр!J5+цвд!J5+пол4!J5+спас!J5+эстетика!J5+чародей!J5+зубик!J5+ПРОЗР!J5+цпс!J5+азимут!J5+стдв!J5+ст.нер!J5+КРИСТ!J5+обл.ст!J5+стом1!J5+центр!J5+оптима!J5+нэс!J5+КРИСТ!J5</f>
        <v>168699</v>
      </c>
      <c r="K5" s="22"/>
      <c r="L5" s="22"/>
      <c r="M5" s="22"/>
      <c r="N5" s="22">
        <f>судисл!N5+нерехта!N5+ик1!N5+увд!N5+красное!N5+дет!N5+'2МО'!N5+роддом!N5+бог!N5+вохма!N5+межа!N5+кадый!N5+чухл!N5+орех!N5+галич!N5+остр!N5+волг!N5+кард!N5+областн!N5+Рожд!N5+шар!N5+поназ!N5+мант!N5+мак!N5+солиг!N5+кожн!N5+ФГУ!N5+муз1!N5+пыщ!N5+госп!N5+костр!N5+пав!N5+нея!N5+пар!N5+сус!N5+кол!N5+буй!N5+ант!N5+ОНКО!N5+цах!N5+узшар!N5+боб!N5+гавр!N5+цвд!N5+пол4!N5+спас!N5+эстетика!N5+чародей!N5+зубик!N5+ПРОЗР!N5+цпс!N5+азимут!N5+стдв!N5+ст.нер!N5+КРИСТ!N5+обл.ст!N5+стом1!N5+центр!N5+оптима!N5+нэс!N5+КРИСТ!N5</f>
        <v>101600</v>
      </c>
      <c r="O5" s="22"/>
      <c r="P5" s="22"/>
      <c r="Q5" s="22"/>
      <c r="R5" s="22">
        <f>судисл!R5+нерехта!R5+ик1!R5+увд!R5+красное!R5+дет!R5+'2МО'!R5+роддом!R5+бог!R5+вохма!R5+межа!R5+кадый!R5+чухл!R5+орех!R5+галич!R5+остр!R5+волг!R5+кард!R5+областн!R5+Рожд!R5+шар!R5+поназ!R5+мант!R5+мак!R5+солиг!R5+кожн!R5+ФГУ!R5+муз1!R5+пыщ!R5+госп!R5+костр!R5+пав!R5+нея!R5+пар!R5+сус!R5+кол!R5+буй!R5+ант!R5+ОНКО!R5+цах!R5+узшар!R5+боб!R5+гавр!R5+цвд!R5+пол4!R5+спас!R5+эстетика!R5+чародей!R5+зубик!R5+ПРОЗР!R5+цпс!R5+азимут!R5+стдв!R5+ст.нер!R5+КРИСТ!R5+обл.ст!R5+стом1!R5+центр!R5+оптима!R5+нэс!R5+КРИСТ!R5</f>
        <v>14156</v>
      </c>
      <c r="S5" s="22"/>
      <c r="T5" s="22"/>
      <c r="U5" s="22"/>
      <c r="V5" s="22">
        <f>судисл!V5+нерехта!V5+ик1!V5+увд!V5+красное!V5+дет!V5+'2МО'!V5+роддом!V5+бог!V5+вохма!V5+межа!V5+кадый!V5+чухл!V5+орех!V5+галич!V5+остр!V5+волг!V5+кард!V5+областн!V5+Рожд!V5+шар!V5+поназ!V5+мант!V5+мак!V5+солиг!V5+кожн!V5+ФГУ!V5+муз1!V5+пыщ!V5+госп!V5+костр!V5+пав!V5+нея!V5+пар!V5+сус!V5+кол!V5+буй!V5+ант!V5+ОНКО!V5+цах!V5+узшар!V5+боб!V5+гавр!V5+цвд!V5+пол4!V5+спас!V5+эстетика!V5+чародей!V5+зубик!V5+ПРОЗР!V5+цпс!V5+азимут!V5+стдв!V5+ст.нер!V5+КРИСТ!V5+обл.ст!V5+стом1!V5+центр!V5+оптима!V5+нэс!V5+КРИСТ!V5+смп!V5</f>
        <v>14096</v>
      </c>
      <c r="W5" s="22"/>
      <c r="X5" s="22"/>
      <c r="Y5" s="22"/>
      <c r="Z5" s="22">
        <f>галич!Z5+шар!Z5+муз1!Z5+нэс!Z5</f>
        <v>1535</v>
      </c>
      <c r="AA5" s="22"/>
      <c r="AB5" s="22"/>
      <c r="AC5" s="22"/>
    </row>
    <row r="6" spans="1:29" x14ac:dyDescent="0.2">
      <c r="A6" s="1" t="s">
        <v>8</v>
      </c>
      <c r="B6" s="22">
        <f>судисл!B6+нерехта!B6+ик1!B6+увд!B6+красное!B6+дет!B6+'2МО'!B6+роддом!B6+бог!B6+вохма!B6+межа!B6+кадый!B6+чухл!B6+орех!B6+галич!B6+остр!B6+волг!B6+кард!B6+областн!B6+Рожд!B6+шар!B6+поназ!B6+мант!B6+мак!B6+солиг!B6+кожн!B6+ФГУ!B6+муз1!B6+пыщ!B6+госп!B6+костр!B6+пав!B6+нея!B6+пар!B6+сус!B6+кол!B6+буй!B6+ант!B6+ОНКО!B6+цах!B6+узшар!B6+боб!B6+гавр!B6+цвд!B6+пол4!B6+спас!B6+эстетика!B6+чародей!B6+зубик!B6+ПРОЗР!B6+цпс!B6+азимут!B6+стдв!B6+ст.нер!B6+КРИСТ!B6+обл.ст!B6+стом1!B6+центр!B6+оптима!B6+нэс!B6+КРИСТ!B6</f>
        <v>107149</v>
      </c>
      <c r="C6" s="22"/>
      <c r="D6" s="22"/>
      <c r="E6" s="22"/>
      <c r="F6" s="22">
        <f>судисл!F6+нерехта!F6+ик1!F6+увд!F6+красное!F6+дет!F6+'2МО'!F6+роддом!F6+бог!F6+вохма!F6+межа!F6+кадый!F6+чухл!F6+орех!F6+галич!F6+остр!F6+волг!F6+кард!F6+областн!F6+Рожд!F6+шар!F6+поназ!F6+мант!F6+мак!F6+солиг!F6+кожн!F6+ФГУ!F6+муз1!F6+пыщ!F6+госп!F6+костр!F6+пав!F6+нея!F6+пар!F6+сус!F6+кол!F6+буй!F6+ант!F6+ОНКО!F6+цах!F6+узшар!F6+боб!F6+гавр!F6+цвд!F6+пол4!F6+спас!F6+эстетика!F6+чародей!F6+зубик!F6+ПРОЗР!F6+цпс!F6+азимут!F6+стдв!F6+ст.нер!F6+КРИСТ!F6+обл.ст!F6+стом1!F6+центр!F6+оптима!F6+нэс!F6+КРИСТ!F6</f>
        <v>38392</v>
      </c>
      <c r="G6" s="22"/>
      <c r="H6" s="22"/>
      <c r="I6" s="125"/>
      <c r="J6" s="22">
        <f>судисл!J6+нерехта!J6+ик1!J6+увд!J6+красное!J6+дет!J6+'2МО'!J6+роддом!J6+бог!J6+вохма!J6+межа!J6+кадый!J6+чухл!J6+орех!J6+галич!J6+остр!J6+волг!J6+кард!J6+областн!J6+Рожд!J6+шар!J6+поназ!J6+мант!J6+мак!J6+солиг!J6+кожн!J6+ФГУ!J6+муз1!J6+пыщ!J6+госп!J6+костр!J6+пав!J6+нея!J6+пар!J6+сус!J6+кол!J6+буй!J6+ант!J6+ОНКО!J6+цах!J6+узшар!J6+боб!J6+гавр!J6+цвд!J6+пол4!J6+спас!J6+эстетика!J6+чародей!J6+зубик!J6+ПРОЗР!J6+цпс!J6+азимут!J6+стдв!J6+ст.нер!J6+КРИСТ!J6+обл.ст!J6+стом1!J6+центр!J6+оптима!J6+нэс!J6+КРИСТ!J6</f>
        <v>172275</v>
      </c>
      <c r="K6" s="22"/>
      <c r="L6" s="22"/>
      <c r="M6" s="22"/>
      <c r="N6" s="22">
        <f>судисл!N6+нерехта!N6+ик1!N6+увд!N6+красное!N6+дет!N6+'2МО'!N6+роддом!N6+бог!N6+вохма!N6+межа!N6+кадый!N6+чухл!N6+орех!N6+галич!N6+остр!N6+волг!N6+кард!N6+областн!N6+Рожд!N6+шар!N6+поназ!N6+мант!N6+мак!N6+солиг!N6+кожн!N6+ФГУ!N6+муз1!N6+пыщ!N6+госп!N6+костр!N6+пав!N6+нея!N6+пар!N6+сус!N6+кол!N6+буй!N6+ант!N6+ОНКО!N6+цах!N6+узшар!N6+боб!N6+гавр!N6+цвд!N6+пол4!N6+спас!N6+эстетика!N6+чародей!N6+зубик!N6+ПРОЗР!N6+цпс!N6+азимут!N6+стдв!N6+ст.нер!N6+КРИСТ!N6+обл.ст!N6+стом1!N6+центр!N6+оптима!N6+нэс!N6+КРИСТ!N6</f>
        <v>104320</v>
      </c>
      <c r="O6" s="22"/>
      <c r="P6" s="22"/>
      <c r="Q6" s="22"/>
      <c r="R6" s="22">
        <f>судисл!R6+нерехта!R6+ик1!R6+увд!R6+красное!R6+дет!R6+'2МО'!R6+роддом!R6+бог!R6+вохма!R6+межа!R6+кадый!R6+чухл!R6+орех!R6+галич!R6+остр!R6+волг!R6+кард!R6+областн!R6+Рожд!R6+шар!R6+поназ!R6+мант!R6+мак!R6+солиг!R6+кожн!R6+ФГУ!R6+муз1!R6+пыщ!R6+госп!R6+костр!R6+пав!R6+нея!R6+пар!R6+сус!R6+кол!R6+буй!R6+ант!R6+ОНКО!R6+цах!R6+узшар!R6+боб!R6+гавр!R6+цвд!R6+пол4!R6+спас!R6+эстетика!R6+чародей!R6+зубик!R6+ПРОЗР!R6+цпс!R6+азимут!R6+стдв!R6+ст.нер!R6+КРИСТ!R6+обл.ст!R6+стом1!R6+центр!R6+оптима!R6+нэс!R6+КРИСТ!R6</f>
        <v>14322</v>
      </c>
      <c r="S6" s="22"/>
      <c r="T6" s="22"/>
      <c r="U6" s="22"/>
      <c r="V6" s="22">
        <f>судисл!V6+нерехта!V6+ик1!V6+увд!V6+красное!V6+дет!V6+'2МО'!V6+роддом!V6+бог!V6+вохма!V6+межа!V6+кадый!V6+чухл!V6+орех!V6+галич!V6+остр!V6+волг!V6+кард!V6+областн!V6+Рожд!V6+шар!V6+поназ!V6+мант!V6+мак!V6+солиг!V6+кожн!V6+ФГУ!V6+муз1!V6+пыщ!V6+госп!V6+костр!V6+пав!V6+нея!V6+пар!V6+сус!V6+кол!V6+буй!V6+ант!V6+ОНКО!V6+цах!V6+узшар!V6+боб!V6+гавр!V6+цвд!V6+пол4!V6+спас!V6+эстетика!V6+чародей!V6+зубик!V6+ПРОЗР!V6+цпс!V6+азимут!V6+стдв!V6+ст.нер!V6+КРИСТ!V6+обл.ст!V6+стом1!V6+центр!V6+оптима!V6+нэс!V6+КРИСТ!V6+смп!V6</f>
        <v>14180</v>
      </c>
      <c r="W6" s="22"/>
      <c r="X6" s="22"/>
      <c r="Y6" s="22"/>
      <c r="Z6" s="22">
        <f>галич!Z6+шар!Z6+муз1!Z6+нэс!Z6</f>
        <v>1535</v>
      </c>
      <c r="AA6" s="22"/>
      <c r="AB6" s="22"/>
      <c r="AC6" s="22"/>
    </row>
    <row r="7" spans="1:29" x14ac:dyDescent="0.2">
      <c r="A7" s="1" t="s">
        <v>16</v>
      </c>
      <c r="B7" s="22">
        <f>судисл!B7+нерехта!B7+ик1!B7+увд!B7+красное!B7+дет!B7+'2МО'!B7+роддом!B7+бог!B7+вохма!B7+межа!B7+кадый!B7+чухл!B7+орех!B7+галич!B7+остр!B7+волг!B7+кард!B7+областн!B7+Рожд!B7+шар!B7+поназ!B7+мант!B7+мак!B7+солиг!B7+кожн!B7+ФГУ!B7+муз1!B7+пыщ!B7+госп!B7+костр!B7+пав!B7+нея!B7+пар!B7+сус!B7+кол!B7+буй!B7+ант!B7+ОНКО!B7+цах!B7+узшар!B7+боб!B7+гавр!B7+цвд!B7+пол4!B7+спас!B7+эстетика!B7+чародей!B7+зубик!B7+ПРОЗР!B7+цпс!B7+азимут!B7+стдв!B7+ст.нер!B7+КРИСТ!B7+обл.ст!B7+стом1!B7+центр!B7+оптима!B7+нэс!B7+КРИСТ!B7</f>
        <v>108433</v>
      </c>
      <c r="C7" s="22"/>
      <c r="D7" s="22"/>
      <c r="E7" s="22"/>
      <c r="F7" s="22">
        <f>судисл!F7+нерехта!F7+ик1!F7+увд!F7+красное!F7+дет!F7+'2МО'!F7+роддом!F7+бог!F7+вохма!F7+межа!F7+кадый!F7+чухл!F7+орех!F7+галич!F7+остр!F7+волг!F7+кард!F7+областн!F7+Рожд!F7+шар!F7+поназ!F7+мант!F7+мак!F7+солиг!F7+кожн!F7+ФГУ!F7+муз1!F7+пыщ!F7+госп!F7+костр!F7+пав!F7+нея!F7+пар!F7+сус!F7+кол!F7+буй!F7+ант!F7+ОНКО!F7+цах!F7+узшар!F7+боб!F7+гавр!F7+цвд!F7+пол4!F7+спас!F7+эстетика!F7+чародей!F7+зубик!F7+ПРОЗР!F7+цпс!F7+азимут!F7+стдв!F7+ст.нер!F7+КРИСТ!F7+обл.ст!F7+стом1!F7+центр!F7+оптима!F7+нэс!F7+КРИСТ!F7</f>
        <v>39317</v>
      </c>
      <c r="G7" s="22"/>
      <c r="H7" s="22"/>
      <c r="I7" s="125"/>
      <c r="J7" s="22">
        <f>судисл!J7+нерехта!J7+ик1!J7+увд!J7+красное!J7+дет!J7+'2МО'!J7+роддом!J7+бог!J7+вохма!J7+межа!J7+кадый!J7+чухл!J7+орех!J7+галич!J7+остр!J7+волг!J7+кард!J7+областн!J7+Рожд!J7+шар!J7+поназ!J7+мант!J7+мак!J7+солиг!J7+кожн!J7+ФГУ!J7+муз1!J7+пыщ!J7+госп!J7+костр!J7+пав!J7+нея!J7+пар!J7+сус!J7+кол!J7+буй!J7+ант!J7+ОНКО!J7+цах!J7+узшар!J7+боб!J7+гавр!J7+цвд!J7+пол4!J7+спас!J7+эстетика!J7+чародей!J7+зубик!J7+ПРОЗР!J7+цпс!J7+азимут!J7+стдв!J7+ст.нер!J7+КРИСТ!J7+обл.ст!J7+стом1!J7+центр!J7+оптима!J7+нэс!J7+КРИСТ!J7</f>
        <v>175638</v>
      </c>
      <c r="K7" s="22"/>
      <c r="L7" s="22"/>
      <c r="M7" s="22"/>
      <c r="N7" s="22">
        <f>судисл!N7+нерехта!N7+ик1!N7+увд!N7+красное!N7+дет!N7+'2МО'!N7+роддом!N7+бог!N7+вохма!N7+межа!N7+кадый!N7+чухл!N7+орех!N7+галич!N7+остр!N7+волг!N7+кард!N7+областн!N7+Рожд!N7+шар!N7+поназ!N7+мант!N7+мак!N7+солиг!N7+кожн!N7+ФГУ!N7+муз1!N7+пыщ!N7+госп!N7+костр!N7+пав!N7+нея!N7+пар!N7+сус!N7+кол!N7+буй!N7+ант!N7+ОНКО!N7+цах!N7+узшар!N7+боб!N7+гавр!N7+цвд!N7+пол4!N7+спас!N7+эстетика!N7+чародей!N7+зубик!N7+ПРОЗР!N7+цпс!N7+азимут!N7+стдв!N7+ст.нер!N7+КРИСТ!N7+обл.ст!N7+стом1!N7+центр!N7+оптима!N7+нэс!N7+КРИСТ!N7</f>
        <v>103555</v>
      </c>
      <c r="O7" s="22"/>
      <c r="P7" s="22"/>
      <c r="Q7" s="22"/>
      <c r="R7" s="22">
        <f>судисл!R7+нерехта!R7+ик1!R7+увд!R7+красное!R7+дет!R7+'2МО'!R7+роддом!R7+бог!R7+вохма!R7+межа!R7+кадый!R7+чухл!R7+орех!R7+галич!R7+остр!R7+волг!R7+кард!R7+областн!R7+Рожд!R7+шар!R7+поназ!R7+мант!R7+мак!R7+солиг!R7+кожн!R7+ФГУ!R7+муз1!R7+пыщ!R7+госп!R7+костр!R7+пав!R7+нея!R7+пар!R7+сус!R7+кол!R7+буй!R7+ант!R7+ОНКО!R7+цах!R7+узшар!R7+боб!R7+гавр!R7+цвд!R7+пол4!R7+спас!R7+эстетика!R7+чародей!R7+зубик!R7+ПРОЗР!R7+цпс!R7+азимут!R7+стдв!R7+ст.нер!R7+КРИСТ!R7+обл.ст!R7+стом1!R7+центр!R7+оптима!R7+нэс!R7+КРИСТ!R7</f>
        <v>14310</v>
      </c>
      <c r="S7" s="22"/>
      <c r="T7" s="22"/>
      <c r="U7" s="22"/>
      <c r="V7" s="22">
        <f>судисл!V7+нерехта!V7+ик1!V7+увд!V7+красное!V7+дет!V7+'2МО'!V7+роддом!V7+бог!V7+вохма!V7+межа!V7+кадый!V7+чухл!V7+орех!V7+галич!V7+остр!V7+волг!V7+кард!V7+областн!V7+Рожд!V7+шар!V7+поназ!V7+мант!V7+мак!V7+солиг!V7+кожн!V7+ФГУ!V7+муз1!V7+пыщ!V7+госп!V7+костр!V7+пав!V7+нея!V7+пар!V7+сус!V7+кол!V7+буй!V7+ант!V7+ОНКО!V7+цах!V7+узшар!V7+боб!V7+гавр!V7+цвд!V7+пол4!V7+спас!V7+эстетика!V7+чародей!V7+зубик!V7+ПРОЗР!V7+цпс!V7+азимут!V7+стдв!V7+ст.нер!V7+КРИСТ!V7+обл.ст!V7+стом1!V7+центр!V7+оптима!V7+нэс!V7+КРИСТ!V7+смп!V7</f>
        <v>14103</v>
      </c>
      <c r="W7" s="22"/>
      <c r="X7" s="22"/>
      <c r="Y7" s="22"/>
      <c r="Z7" s="22">
        <f>галич!Z7+шар!Z7+муз1!Z7+нэс!Z7</f>
        <v>1576</v>
      </c>
      <c r="AA7" s="22"/>
      <c r="AB7" s="22"/>
      <c r="AC7" s="22"/>
    </row>
    <row r="8" spans="1:29" x14ac:dyDescent="0.2">
      <c r="A8" s="1" t="s">
        <v>17</v>
      </c>
      <c r="B8" s="22">
        <f>судисл!B8+нерехта!B8+ик1!B8+увд!B8+красное!B8+дет!B8+'2МО'!B8+роддом!B8+бог!B8+вохма!B8+межа!B8+кадый!B8+чухл!B8+орех!B8+галич!B8+остр!B8+волг!B8+кард!B8+областн!B8+Рожд!B8+шар!B8+поназ!B8+мант!B8+мак!B8+солиг!B8+кожн!B8+ФГУ!B8+муз1!B8+пыщ!B8+госп!B8+костр!B8+пав!B8+нея!B8+пар!B8+сус!B8+кол!B8+буй!B8+ант!B8+ОНКО!B8+цах!B8+узшар!B8+боб!B8+гавр!B8+цвд!B8+пол4!B8+спас!B8+эстетика!B8+чародей!B8+зубик!B8+ПРОЗР!B8+цпс!B8+азимут!B8+стдв!B8+ст.нер!B8+КРИСТ!B8+обл.ст!B8+стом1!B8+центр!B8+оптима!B8+нэс!B8+КРИСТ!B8</f>
        <v>103973</v>
      </c>
      <c r="C8" s="22"/>
      <c r="D8" s="22"/>
      <c r="E8" s="22"/>
      <c r="F8" s="22">
        <f>судисл!F8+нерехта!F8+ик1!F8+увд!F8+красное!F8+дет!F8+'2МО'!F8+роддом!F8+бог!F8+вохма!F8+межа!F8+кадый!F8+чухл!F8+орех!F8+галич!F8+остр!F8+волг!F8+кард!F8+областн!F8+Рожд!F8+шар!F8+поназ!F8+мант!F8+мак!F8+солиг!F8+кожн!F8+ФГУ!F8+муз1!F8+пыщ!F8+госп!F8+костр!F8+пав!F8+нея!F8+пар!F8+сус!F8+кол!F8+буй!F8+ант!F8+ОНКО!F8+цах!F8+узшар!F8+боб!F8+гавр!F8+цвд!F8+пол4!F8+спас!F8+эстетика!F8+чародей!F8+зубик!F8+ПРОЗР!F8+цпс!F8+азимут!F8+стдв!F8+ст.нер!F8+КРИСТ!F8+обл.ст!F8+стом1!F8+центр!F8+оптима!F8+нэс!F8+КРИСТ!F8</f>
        <v>38171</v>
      </c>
      <c r="G8" s="22"/>
      <c r="H8" s="22"/>
      <c r="I8" s="125"/>
      <c r="J8" s="22">
        <f>судисл!J8+нерехта!J8+ик1!J8+увд!J8+красное!J8+дет!J8+'2МО'!J8+роддом!J8+бог!J8+вохма!J8+межа!J8+кадый!J8+чухл!J8+орех!J8+галич!J8+остр!J8+волг!J8+кард!J8+областн!J8+Рожд!J8+шар!J8+поназ!J8+мант!J8+мак!J8+солиг!J8+кожн!J8+ФГУ!J8+муз1!J8+пыщ!J8+госп!J8+костр!J8+пав!J8+нея!J8+пар!J8+сус!J8+кол!J8+буй!J8+ант!J8+ОНКО!J8+цах!J8+узшар!J8+боб!J8+гавр!J8+цвд!J8+пол4!J8+спас!J8+эстетика!J8+чародей!J8+зубик!J8+ПРОЗР!J8+цпс!J8+азимут!J8+стдв!J8+ст.нер!J8+КРИСТ!J8+обл.ст!J8+стом1!J8+центр!J8+оптима!J8+нэс!J8+КРИСТ!J8</f>
        <v>161073</v>
      </c>
      <c r="K8" s="22"/>
      <c r="L8" s="22"/>
      <c r="M8" s="22"/>
      <c r="N8" s="22">
        <f>судисл!N8+нерехта!N8+ик1!N8+увд!N8+красное!N8+дет!N8+'2МО'!N8+роддом!N8+бог!N8+вохма!N8+межа!N8+кадый!N8+чухл!N8+орех!N8+галич!N8+остр!N8+волг!N8+кард!N8+областн!N8+Рожд!N8+шар!N8+поназ!N8+мант!N8+мак!N8+солиг!N8+кожн!N8+ФГУ!N8+муз1!N8+пыщ!N8+госп!N8+костр!N8+пав!N8+нея!N8+пар!N8+сус!N8+кол!N8+буй!N8+ант!N8+ОНКО!N8+цах!N8+узшар!N8+боб!N8+гавр!N8+цвд!N8+пол4!N8+спас!N8+эстетика!N8+чародей!N8+зубик!N8+ПРОЗР!N8+цпс!N8+азимут!N8+стдв!N8+ст.нер!N8+КРИСТ!N8+обл.ст!N8+стом1!N8+центр!N8+оптима!N8+нэс!N8+КРИСТ!N8</f>
        <v>98968</v>
      </c>
      <c r="O8" s="22"/>
      <c r="P8" s="22"/>
      <c r="Q8" s="22"/>
      <c r="R8" s="22">
        <f>судисл!R8+нерехта!R8+ик1!R8+увд!R8+красное!R8+дет!R8+'2МО'!R8+роддом!R8+бог!R8+вохма!R8+межа!R8+кадый!R8+чухл!R8+орех!R8+галич!R8+остр!R8+волг!R8+кард!R8+областн!R8+Рожд!R8+шар!R8+поназ!R8+мант!R8+мак!R8+солиг!R8+кожн!R8+ФГУ!R8+муз1!R8+пыщ!R8+госп!R8+костр!R8+пав!R8+нея!R8+пар!R8+сус!R8+кол!R8+буй!R8+ант!R8+ОНКО!R8+цах!R8+узшар!R8+боб!R8+гавр!R8+цвд!R8+пол4!R8+спас!R8+эстетика!R8+чародей!R8+зубик!R8+ПРОЗР!R8+цпс!R8+азимут!R8+стдв!R8+ст.нер!R8+КРИСТ!R8+обл.ст!R8+стом1!R8+центр!R8+оптима!R8+нэс!R8+КРИСТ!R8</f>
        <v>14335</v>
      </c>
      <c r="S8" s="22"/>
      <c r="T8" s="22"/>
      <c r="U8" s="22"/>
      <c r="V8" s="22">
        <f>судисл!V8+нерехта!V8+ик1!V8+увд!V8+красное!V8+дет!V8+'2МО'!V8+роддом!V8+бог!V8+вохма!V8+межа!V8+кадый!V8+чухл!V8+орех!V8+галич!V8+остр!V8+волг!V8+кард!V8+областн!V8+Рожд!V8+шар!V8+поназ!V8+мант!V8+мак!V8+солиг!V8+кожн!V8+ФГУ!V8+муз1!V8+пыщ!V8+госп!V8+костр!V8+пав!V8+нея!V8+пар!V8+сус!V8+кол!V8+буй!V8+ант!V8+ОНКО!V8+цах!V8+узшар!V8+боб!V8+гавр!V8+цвд!V8+пол4!V8+спас!V8+эстетика!V8+чародей!V8+зубик!V8+ПРОЗР!V8+цпс!V8+азимут!V8+стдв!V8+ст.нер!V8+КРИСТ!V8+обл.ст!V8+стом1!V8+центр!V8+оптима!V8+нэс!V8+КРИСТ!V8+смп!V8</f>
        <v>13941</v>
      </c>
      <c r="W8" s="22"/>
      <c r="X8" s="22"/>
      <c r="Y8" s="22"/>
      <c r="Z8" s="22">
        <f>галич!Z8+шар!Z8+муз1!Z8+нэс!Z8</f>
        <v>1621</v>
      </c>
      <c r="AA8" s="22"/>
      <c r="AB8" s="22"/>
      <c r="AC8" s="22"/>
    </row>
    <row r="9" spans="1:29" x14ac:dyDescent="0.2">
      <c r="A9" s="1" t="s">
        <v>18</v>
      </c>
      <c r="B9" s="22">
        <f>судисл!B9+нерехта!B9+ик1!B9+увд!B9+красное!B9+дет!B9+'2МО'!B9+роддом!B9+бог!B9+вохма!B9+межа!B9+кадый!B9+чухл!B9+орех!B9+галич!B9+остр!B9+волг!B9+кард!B9+областн!B9+Рожд!B9+шар!B9+поназ!B9+мант!B9+мак!B9+солиг!B9+кожн!B9+ФГУ!B9+муз1!B9+пыщ!B9+госп!B9+костр!B9+пав!B9+нея!B9+пар!B9+сус!B9+кол!B9+буй!B9+ант!B9+ОНКО!B9+цах!B9+узшар!B9+боб!B9+гавр!B9+цвд!B9+пол4!B9+спас!B9+эстетика!B9+чародей!B9+зубик!B9+ПРОЗР!B9+цпс!B9+азимут!B9+стдв!B9+ст.нер!B9+КРИСТ!B9+обл.ст!B9+стом1!B9+центр!B9+оптима!B9+нэс!B9+КРИСТ!B9</f>
        <v>113002</v>
      </c>
      <c r="C9" s="22"/>
      <c r="D9" s="22"/>
      <c r="E9" s="22"/>
      <c r="F9" s="22">
        <f>судисл!F9+нерехта!F9+ик1!F9+увд!F9+красное!F9+дет!F9+'2МО'!F9+роддом!F9+бог!F9+вохма!F9+межа!F9+кадый!F9+чухл!F9+орех!F9+галич!F9+остр!F9+волг!F9+кард!F9+областн!F9+Рожд!F9+шар!F9+поназ!F9+мант!F9+мак!F9+солиг!F9+кожн!F9+ФГУ!F9+муз1!F9+пыщ!F9+госп!F9+костр!F9+пав!F9+нея!F9+пар!F9+сус!F9+кол!F9+буй!F9+ант!F9+ОНКО!F9+цах!F9+узшар!F9+боб!F9+гавр!F9+цвд!F9+пол4!F9+спас!F9+эстетика!F9+чародей!F9+зубик!F9+ПРОЗР!F9+цпс!F9+азимут!F9+стдв!F9+ст.нер!F9+КРИСТ!F9+обл.ст!F9+стом1!F9+центр!F9+оптима!F9+нэс!F9+КРИСТ!F9</f>
        <v>42081</v>
      </c>
      <c r="G9" s="22"/>
      <c r="H9" s="22"/>
      <c r="I9" s="125"/>
      <c r="J9" s="22">
        <f>судисл!J9+нерехта!J9+ик1!J9+увд!J9+красное!J9+дет!J9+'2МО'!J9+роддом!J9+бог!J9+вохма!J9+межа!J9+кадый!J9+чухл!J9+орех!J9+галич!J9+остр!J9+волг!J9+кард!J9+областн!J9+Рожд!J9+шар!J9+поназ!J9+мант!J9+мак!J9+солиг!J9+кожн!J9+ФГУ!J9+муз1!J9+пыщ!J9+госп!J9+костр!J9+пав!J9+нея!J9+пар!J9+сус!J9+кол!J9+буй!J9+ант!J9+ОНКО!J9+цах!J9+узшар!J9+боб!J9+гавр!J9+цвд!J9+пол4!J9+спас!J9+эстетика!J9+чародей!J9+зубик!J9+ПРОЗР!J9+цпс!J9+азимут!J9+стдв!J9+ст.нер!J9+КРИСТ!J9+обл.ст!J9+стом1!J9+центр!J9+оптима!J9+нэс!J9+КРИСТ!J9</f>
        <v>223275</v>
      </c>
      <c r="K9" s="22"/>
      <c r="L9" s="22"/>
      <c r="M9" s="22"/>
      <c r="N9" s="22">
        <f>судисл!N9+нерехта!N9+ик1!N9+увд!N9+красное!N9+дет!N9+'2МО'!N9+роддом!N9+бог!N9+вохма!N9+межа!N9+кадый!N9+чухл!N9+орех!N9+галич!N9+остр!N9+волг!N9+кард!N9+областн!N9+Рожд!N9+шар!N9+поназ!N9+мант!N9+мак!N9+солиг!N9+кожн!N9+ФГУ!N9+муз1!N9+пыщ!N9+госп!N9+костр!N9+пав!N9+нея!N9+пар!N9+сус!N9+кол!N9+буй!N9+ант!N9+ОНКО!N9+цах!N9+узшар!N9+боб!N9+гавр!N9+цвд!N9+пол4!N9+спас!N9+эстетика!N9+чародей!N9+зубик!N9+ПРОЗР!N9+цпс!N9+азимут!N9+стдв!N9+ст.нер!N9+КРИСТ!N9+обл.ст!N9+стом1!N9+центр!N9+оптима!N9+нэс!N9+КРИСТ!N9</f>
        <v>104356</v>
      </c>
      <c r="O9" s="22"/>
      <c r="P9" s="22"/>
      <c r="Q9" s="22"/>
      <c r="R9" s="22">
        <f>судисл!R9+нерехта!R9+ик1!R9+увд!R9+красное!R9+дет!R9+'2МО'!R9+роддом!R9+бог!R9+вохма!R9+межа!R9+кадый!R9+чухл!R9+орех!R9+галич!R9+остр!R9+волг!R9+кард!R9+областн!R9+Рожд!R9+шар!R9+поназ!R9+мант!R9+мак!R9+солиг!R9+кожн!R9+ФГУ!R9+муз1!R9+пыщ!R9+госп!R9+костр!R9+пав!R9+нея!R9+пар!R9+сус!R9+кол!R9+буй!R9+ант!R9+ОНКО!R9+цах!R9+узшар!R9+боб!R9+гавр!R9+цвд!R9+пол4!R9+спас!R9+эстетика!R9+чародей!R9+зубик!R9+ПРОЗР!R9+цпс!R9+азимут!R9+стдв!R9+ст.нер!R9+КРИСТ!R9+обл.ст!R9+стом1!R9+центр!R9+оптима!R9+нэс!R9+КРИСТ!R9</f>
        <v>14924</v>
      </c>
      <c r="S9" s="22"/>
      <c r="T9" s="22"/>
      <c r="U9" s="22"/>
      <c r="V9" s="22">
        <f>судисл!V9+нерехта!V9+ик1!V9+увд!V9+красное!V9+дет!V9+'2МО'!V9+роддом!V9+бог!V9+вохма!V9+межа!V9+кадый!V9+чухл!V9+орех!V9+галич!V9+остр!V9+волг!V9+кард!V9+областн!V9+Рожд!V9+шар!V9+поназ!V9+мант!V9+мак!V9+солиг!V9+кожн!V9+ФГУ!V9+муз1!V9+пыщ!V9+госп!V9+костр!V9+пав!V9+нея!V9+пар!V9+сус!V9+кол!V9+буй!V9+ант!V9+ОНКО!V9+цах!V9+узшар!V9+боб!V9+гавр!V9+цвд!V9+пол4!V9+спас!V9+эстетика!V9+чародей!V9+зубик!V9+ПРОЗР!V9+цпс!V9+азимут!V9+стдв!V9+ст.нер!V9+КРИСТ!V9+обл.ст!V9+стом1!V9+центр!V9+оптима!V9+нэс!V9+КРИСТ!V9+смп!V9</f>
        <v>17238</v>
      </c>
      <c r="W9" s="22"/>
      <c r="X9" s="22"/>
      <c r="Y9" s="22"/>
      <c r="Z9" s="22">
        <f>галич!Z9+шар!Z9+муз1!Z9+нэс!Z9</f>
        <v>1627</v>
      </c>
      <c r="AA9" s="22"/>
      <c r="AB9" s="22"/>
      <c r="AC9" s="22"/>
    </row>
    <row r="10" spans="1:29" x14ac:dyDescent="0.2">
      <c r="A10" s="82" t="s">
        <v>19</v>
      </c>
      <c r="B10" s="22">
        <f>судисл!B10+нерехта!B10+ик1!B10+увд!B10+красное!B10+дет!B10+'2МО'!B10+роддом!B10+бог!B10+вохма!B10+межа!B10+кадый!B10+чухл!B10+орех!B10+галич!B10+остр!B10+волг!B10+кард!B10+областн!B10+Рожд!B10+шар!B10+поназ!B10+мант!B10+мак!B10+солиг!B10+кожн!B10+ФГУ!B10+муз1!B10+пыщ!B10+госп!B10+костр!B10+пав!B10+нея!B10+пар!B10+сус!B10+кол!B10+буй!B10+ант!B10+ОНКО!B10+цах!B10+узшар!B10+боб!B10+гавр!B10+цвд!B10+пол4!B10+спас!B10+эстетика!B10+чародей!B10+зубик!B10+ПРОЗР!B10+цпс!B10+азимут!B10+стдв!B10+ст.нер!B10+КРИСТ!B10+обл.ст!B10+стом1!B10+центр!B10+оптима!B10+нэс!B10+КРИСТ!B10</f>
        <v>103581</v>
      </c>
      <c r="C10" s="22"/>
      <c r="D10" s="22"/>
      <c r="E10" s="22"/>
      <c r="F10" s="22">
        <f>судисл!F10+нерехта!F10+ик1!F10+увд!F10+красное!F10+дет!F10+'2МО'!F10+роддом!F10+бог!F10+вохма!F10+межа!F10+кадый!F10+чухл!F10+орех!F10+галич!F10+остр!F10+волг!F10+кард!F10+областн!F10+Рожд!F10+шар!F10+поназ!F10+мант!F10+мак!F10+солиг!F10+кожн!F10+ФГУ!F10+муз1!F10+пыщ!F10+госп!F10+костр!F10+пав!F10+нея!F10+пар!F10+сус!F10+кол!F10+буй!F10+ант!F10+ОНКО!F10+цах!F10+узшар!F10+боб!F10+гавр!F10+цвд!F10+пол4!F10+спас!F10+эстетика!F10+чародей!F10+зубик!F10+ПРОЗР!F10+цпс!F10+азимут!F10+стдв!F10+ст.нер!F10+КРИСТ!F10+обл.ст!F10+стом1!F10+центр!F10+оптима!F10+нэс!F10+КРИСТ!F10</f>
        <v>34578</v>
      </c>
      <c r="G10" s="22"/>
      <c r="H10" s="22"/>
      <c r="I10" s="125"/>
      <c r="J10" s="22">
        <f>судисл!J10+нерехта!J10+ик1!J10+увд!J10+красное!J10+дет!J10+'2МО'!J10+роддом!J10+бог!J10+вохма!J10+межа!J10+кадый!J10+чухл!J10+орех!J10+галич!J10+остр!J10+волг!J10+кард!J10+областн!J10+Рожд!J10+шар!J10+поназ!J10+мант!J10+мак!J10+солиг!J10+кожн!J10+ФГУ!J10+муз1!J10+пыщ!J10+госп!J10+костр!J10+пав!J10+нея!J10+пар!J10+сус!J10+кол!J10+буй!J10+ант!J10+ОНКО!J10+цах!J10+узшар!J10+боб!J10+гавр!J10+цвд!J10+пол4!J10+спас!J10+эстетика!J10+чародей!J10+зубик!J10+ПРОЗР!J10+цпс!J10+азимут!J10+стдв!J10+ст.нер!J10+КРИСТ!J10+обл.ст!J10+стом1!J10+центр!J10+оптима!J10+нэс!J10+КРИСТ!J10</f>
        <v>331427</v>
      </c>
      <c r="K10" s="22"/>
      <c r="L10" s="22"/>
      <c r="M10" s="22"/>
      <c r="N10" s="22">
        <f>судисл!N10+нерехта!N10+ик1!N10+увд!N10+красное!N10+дет!N10+'2МО'!N10+роддом!N10+бог!N10+вохма!N10+межа!N10+кадый!N10+чухл!N10+орех!N10+галич!N10+остр!N10+волг!N10+кард!N10+областн!N10+Рожд!N10+шар!N10+поназ!N10+мант!N10+мак!N10+солиг!N10+кожн!N10+ФГУ!N10+муз1!N10+пыщ!N10+госп!N10+костр!N10+пав!N10+нея!N10+пар!N10+сус!N10+кол!N10+буй!N10+ант!N10+ОНКО!N10+цах!N10+узшар!N10+боб!N10+гавр!N10+цвд!N10+пол4!N10+спас!N10+эстетика!N10+чародей!N10+зубик!N10+ПРОЗР!N10+цпс!N10+азимут!N10+стдв!N10+ст.нер!N10+КРИСТ!N10+обл.ст!N10+стом1!N10+центр!N10+оптима!N10+нэс!N10+КРИСТ!N10</f>
        <v>71625</v>
      </c>
      <c r="O10" s="22"/>
      <c r="P10" s="22"/>
      <c r="Q10" s="22"/>
      <c r="R10" s="22">
        <f>судисл!R10+нерехта!R10+ик1!R10+увд!R10+красное!R10+дет!R10+'2МО'!R10+роддом!R10+бог!R10+вохма!R10+межа!R10+кадый!R10+чухл!R10+орех!R10+галич!R10+остр!R10+волг!R10+кард!R10+областн!R10+Рожд!R10+шар!R10+поназ!R10+мант!R10+мак!R10+солиг!R10+кожн!R10+ФГУ!R10+муз1!R10+пыщ!R10+госп!R10+костр!R10+пав!R10+нея!R10+пар!R10+сус!R10+кол!R10+буй!R10+ант!R10+ОНКО!R10+цах!R10+узшар!R10+боб!R10+гавр!R10+цвд!R10+пол4!R10+спас!R10+эстетика!R10+чародей!R10+зубик!R10+ПРОЗР!R10+цпс!R10+азимут!R10+стдв!R10+ст.нер!R10+КРИСТ!R10+обл.ст!R10+стом1!R10+центр!R10+оптима!R10+нэс!R10+КРИСТ!R10</f>
        <v>15479</v>
      </c>
      <c r="S10" s="22"/>
      <c r="T10" s="22"/>
      <c r="U10" s="22"/>
      <c r="V10" s="22">
        <f>судисл!V10+нерехта!V10+ик1!V10+увд!V10+красное!V10+дет!V10+'2МО'!V10+роддом!V10+бог!V10+вохма!V10+межа!V10+кадый!V10+чухл!V10+орех!V10+галич!V10+остр!V10+волг!V10+кард!V10+областн!V10+Рожд!V10+шар!V10+поназ!V10+мант!V10+мак!V10+солиг!V10+кожн!V10+ФГУ!V10+муз1!V10+пыщ!V10+госп!V10+костр!V10+пав!V10+нея!V10+пар!V10+сус!V10+кол!V10+буй!V10+ант!V10+ОНКО!V10+цах!V10+узшар!V10+боб!V10+гавр!V10+цвд!V10+пол4!V10+спас!V10+эстетика!V10+чародей!V10+зубик!V10+ПРОЗР!V10+цпс!V10+азимут!V10+стдв!V10+ст.нер!V10+КРИСТ!V10+обл.ст!V10+стом1!V10+центр!V10+оптима!V10+нэс!V10+КРИСТ!V10+смп!V10</f>
        <v>13922</v>
      </c>
      <c r="W10" s="22"/>
      <c r="X10" s="22"/>
      <c r="Y10" s="22"/>
      <c r="Z10" s="22">
        <f>галич!Z10+шар!Z10+муз1!Z10+нэс!Z10</f>
        <v>1627</v>
      </c>
      <c r="AA10" s="22"/>
      <c r="AB10" s="22"/>
      <c r="AC10" s="22"/>
    </row>
    <row r="11" spans="1:29" x14ac:dyDescent="0.2">
      <c r="A11" s="1" t="s">
        <v>10</v>
      </c>
      <c r="B11" s="22">
        <f>судисл!B11+нерехта!B11+ик1!B11+увд!B11+красное!B11+дет!B11+'2МО'!B11+роддом!B11+бог!B11+вохма!B11+межа!B11+кадый!B11+чухл!B11+орех!B11+галич!B11+остр!B11+волг!B11+кард!B11+областн!B11+Рожд!B11+шар!B11+поназ!B11+мант!B11+мак!B11+солиг!B11+кожн!B11+ФГУ!B11+муз1!B11+пыщ!B11+госп!B11+костр!B11+пав!B11+нея!B11+пар!B11+сус!B11+кол!B11+буй!B11+ант!B11+ОНКО!B11+цах!B11+узшар!B11+боб!B11+гавр!B11+цвд!B11+пол4!B11+спас!B11+эстетика!B11+чародей!B11+зубик!B11+ПРОЗР!B11+цпс!B11+азимут!B11+стдв!B11+ст.нер!B11+КРИСТ!B11+обл.ст!B11+стом1!B11+центр!B11+оптима!B11+нэс!B11+КРИСТ!B11</f>
        <v>100341</v>
      </c>
      <c r="C11" s="22"/>
      <c r="D11" s="22"/>
      <c r="E11" s="22"/>
      <c r="F11" s="22">
        <f>судисл!F11+нерехта!F11+ик1!F11+увд!F11+красное!F11+дет!F11+'2МО'!F11+роддом!F11+бог!F11+вохма!F11+межа!F11+кадый!F11+чухл!F11+орех!F11+галич!F11+остр!F11+волг!F11+кард!F11+областн!F11+Рожд!F11+шар!F11+поназ!F11+мант!F11+мак!F11+солиг!F11+кожн!F11+ФГУ!F11+муз1!F11+пыщ!F11+госп!F11+костр!F11+пав!F11+нея!F11+пар!F11+сус!F11+кол!F11+буй!F11+ант!F11+ОНКО!F11+цах!F11+узшар!F11+боб!F11+гавр!F11+цвд!F11+пол4!F11+спас!F11+эстетика!F11+чародей!F11+зубик!F11+ПРОЗР!F11+цпс!F11+азимут!F11+стдв!F11+ст.нер!F11+КРИСТ!F11+обл.ст!F11+стом1!F11+центр!F11+оптима!F11+нэс!F11+КРИСТ!F11</f>
        <v>35463</v>
      </c>
      <c r="G11" s="22"/>
      <c r="H11" s="22"/>
      <c r="I11" s="125"/>
      <c r="J11" s="22">
        <f>судисл!J11+нерехта!J11+ик1!J11+увд!J11+красное!J11+дет!J11+'2МО'!J11+роддом!J11+бог!J11+вохма!J11+межа!J11+кадый!J11+чухл!J11+орех!J11+галич!J11+остр!J11+волг!J11+кард!J11+областн!J11+Рожд!J11+шар!J11+поназ!J11+мант!J11+мак!J11+солиг!J11+кожн!J11+ФГУ!J11+муз1!J11+пыщ!J11+госп!J11+костр!J11+пав!J11+нея!J11+пар!J11+сус!J11+кол!J11+буй!J11+ант!J11+ОНКО!J11+цах!J11+узшар!J11+боб!J11+гавр!J11+цвд!J11+пол4!J11+спас!J11+эстетика!J11+чародей!J11+зубик!J11+ПРОЗР!J11+цпс!J11+азимут!J11+стдв!J11+ст.нер!J11+КРИСТ!J11+обл.ст!J11+стом1!J11+центр!J11+оптима!J11+нэс!J11+КРИСТ!J11</f>
        <v>306881</v>
      </c>
      <c r="K11" s="22"/>
      <c r="L11" s="22"/>
      <c r="M11" s="22"/>
      <c r="N11" s="22">
        <f>судисл!N11+нерехта!N11+ик1!N11+увд!N11+красное!N11+дет!N11+'2МО'!N11+роддом!N11+бог!N11+вохма!N11+межа!N11+кадый!N11+чухл!N11+орех!N11+галич!N11+остр!N11+волг!N11+кард!N11+областн!N11+Рожд!N11+шар!N11+поназ!N11+мант!N11+мак!N11+солиг!N11+кожн!N11+ФГУ!N11+муз1!N11+пыщ!N11+госп!N11+костр!N11+пав!N11+нея!N11+пар!N11+сус!N11+кол!N11+буй!N11+ант!N11+ОНКО!N11+цах!N11+узшар!N11+боб!N11+гавр!N11+цвд!N11+пол4!N11+спас!N11+эстетика!N11+чародей!N11+зубик!N11+ПРОЗР!N11+цпс!N11+азимут!N11+стдв!N11+ст.нер!N11+КРИСТ!N11+обл.ст!N11+стом1!N11+центр!N11+оптима!N11+нэс!N11+КРИСТ!N11</f>
        <v>82763</v>
      </c>
      <c r="O11" s="22"/>
      <c r="P11" s="22"/>
      <c r="Q11" s="22"/>
      <c r="R11" s="22">
        <f>судисл!R11+нерехта!R11+ик1!R11+увд!R11+красное!R11+дет!R11+'2МО'!R11+роддом!R11+бог!R11+вохма!R11+межа!R11+кадый!R11+чухл!R11+орех!R11+галич!R11+остр!R11+волг!R11+кард!R11+областн!R11+Рожд!R11+шар!R11+поназ!R11+мант!R11+мак!R11+солиг!R11+кожн!R11+ФГУ!R11+муз1!R11+пыщ!R11+госп!R11+костр!R11+пав!R11+нея!R11+пар!R11+сус!R11+кол!R11+буй!R11+ант!R11+ОНКО!R11+цах!R11+узшар!R11+боб!R11+гавр!R11+цвд!R11+пол4!R11+спас!R11+эстетика!R11+чародей!R11+зубик!R11+ПРОЗР!R11+цпс!R11+азимут!R11+стдв!R11+ст.нер!R11+КРИСТ!R11+обл.ст!R11+стом1!R11+центр!R11+оптима!R11+нэс!R11+КРИСТ!R11</f>
        <v>15068</v>
      </c>
      <c r="S11" s="22"/>
      <c r="T11" s="22"/>
      <c r="U11" s="22"/>
      <c r="V11" s="22">
        <f>судисл!V11+нерехта!V11+ик1!V11+увд!V11+красное!V11+дет!V11+'2МО'!V11+роддом!V11+бог!V11+вохма!V11+межа!V11+кадый!V11+чухл!V11+орех!V11+галич!V11+остр!V11+волг!V11+кард!V11+областн!V11+Рожд!V11+шар!V11+поназ!V11+мант!V11+мак!V11+солиг!V11+кожн!V11+ФГУ!V11+муз1!V11+пыщ!V11+госп!V11+костр!V11+пав!V11+нея!V11+пар!V11+сус!V11+кол!V11+буй!V11+ант!V11+ОНКО!V11+цах!V11+узшар!V11+боб!V11+гавр!V11+цвд!V11+пол4!V11+спас!V11+эстетика!V11+чародей!V11+зубик!V11+ПРОЗР!V11+цпс!V11+азимут!V11+стдв!V11+ст.нер!V11+КРИСТ!V11+обл.ст!V11+стом1!V11+центр!V11+оптима!V11+нэс!V11+КРИСТ!V11+смп!V11</f>
        <v>14095</v>
      </c>
      <c r="W11" s="22"/>
      <c r="X11" s="22"/>
      <c r="Y11" s="22"/>
      <c r="Z11" s="22">
        <f>галич!Z11+шар!Z11+муз1!Z11+нэс!Z11</f>
        <v>1624</v>
      </c>
      <c r="AA11" s="22"/>
      <c r="AB11" s="22"/>
      <c r="AC11" s="22"/>
    </row>
    <row r="12" spans="1:29" x14ac:dyDescent="0.2">
      <c r="A12" s="1" t="s">
        <v>11</v>
      </c>
      <c r="B12" s="22">
        <f>судисл!B12+нерехта!B12+ик1!B12+увд!B12+красное!B12+дет!B12+'2МО'!B12+роддом!B12+бог!B12+вохма!B12+межа!B12+кадый!B12+чухл!B12+орех!B12+галич!B12+остр!B12+волг!B12+кард!B12+областн!B12+Рожд!B12+шар!B12+поназ!B12+мант!B12+мак!B12+солиг!B12+кожн!B12+ФГУ!B12+муз1!B12+пыщ!B12+госп!B12+костр!B12+пав!B12+нея!B12+пар!B12+сус!B12+кол!B12+буй!B12+ант!B12+ОНКО!B12+цах!B12+узшар!B12+боб!B12+гавр!B12+цвд!B12+пол4!B12+спас!B12+эстетика!B12+чародей!B12+зубик!B12+ПРОЗР!B12+цпс!B12+азимут!B12+стдв!B12+ст.нер!B12+КРИСТ!B12+обл.ст!B12+стом1!B12+центр!B12+оптима!B12+нэс!B12+КРИСТ!B12</f>
        <v>102905</v>
      </c>
      <c r="C12" s="22"/>
      <c r="D12" s="22"/>
      <c r="E12" s="22"/>
      <c r="F12" s="22">
        <f>судисл!F12+нерехта!F12+ик1!F12+увд!F12+красное!F12+дет!F12+'2МО'!F12+роддом!F12+бог!F12+вохма!F12+межа!F12+кадый!F12+чухл!F12+орех!F12+галич!F12+остр!F12+волг!F12+кард!F12+областн!F12+Рожд!F12+шар!F12+поназ!F12+мант!F12+мак!F12+солиг!F12+кожн!F12+ФГУ!F12+муз1!F12+пыщ!F12+госп!F12+костр!F12+пав!F12+нея!F12+пар!F12+сус!F12+кол!F12+буй!F12+ант!F12+ОНКО!F12+цах!F12+узшар!F12+боб!F12+гавр!F12+цвд!F12+пол4!F12+спас!F12+эстетика!F12+чародей!F12+зубик!F12+ПРОЗР!F12+цпс!F12+азимут!F12+стдв!F12+ст.нер!F12+КРИСТ!F12+обл.ст!F12+стом1!F12+центр!F12+оптима!F12+нэс!F12+КРИСТ!F12</f>
        <v>37939</v>
      </c>
      <c r="G12" s="22"/>
      <c r="H12" s="22"/>
      <c r="I12" s="125"/>
      <c r="J12" s="22">
        <f>судисл!J12+нерехта!J12+ик1!J12+увд!J12+красное!J12+дет!J12+'2МО'!J12+роддом!J12+бог!J12+вохма!J12+межа!J12+кадый!J12+чухл!J12+орех!J12+галич!J12+остр!J12+волг!J12+кард!J12+областн!J12+Рожд!J12+шар!J12+поназ!J12+мант!J12+мак!J12+солиг!J12+кожн!J12+ФГУ!J12+муз1!J12+пыщ!J12+госп!J12+костр!J12+пав!J12+нея!J12+пар!J12+сус!J12+кол!J12+буй!J12+ант!J12+ОНКО!J12+цах!J12+узшар!J12+боб!J12+гавр!J12+цвд!J12+пол4!J12+спас!J12+эстетика!J12+чародей!J12+зубик!J12+ПРОЗР!J12+цпс!J12+азимут!J12+стдв!J12+ст.нер!J12+КРИСТ!J12+обл.ст!J12+стом1!J12+центр!J12+оптима!J12+нэс!J12+КРИСТ!J12</f>
        <v>296445</v>
      </c>
      <c r="K12" s="22"/>
      <c r="L12" s="22"/>
      <c r="M12" s="22"/>
      <c r="N12" s="22">
        <f>судисл!N12+нерехта!N12+ик1!N12+увд!N12+красное!N12+дет!N12+'2МО'!N12+роддом!N12+бог!N12+вохма!N12+межа!N12+кадый!N12+чухл!N12+орех!N12+галич!N12+остр!N12+волг!N12+кард!N12+областн!N12+Рожд!N12+шар!N12+поназ!N12+мант!N12+мак!N12+солиг!N12+кожн!N12+ФГУ!N12+муз1!N12+пыщ!N12+госп!N12+костр!N12+пав!N12+нея!N12+пар!N12+сус!N12+кол!N12+буй!N12+ант!N12+ОНКО!N12+цах!N12+узшар!N12+боб!N12+гавр!N12+цвд!N12+пол4!N12+спас!N12+эстетика!N12+чародей!N12+зубик!N12+ПРОЗР!N12+цпс!N12+азимут!N12+стдв!N12+ст.нер!N12+КРИСТ!N12+обл.ст!N12+стом1!N12+центр!N12+оптима!N12+нэс!N12+КРИСТ!N12</f>
        <v>89688</v>
      </c>
      <c r="O12" s="22"/>
      <c r="P12" s="22"/>
      <c r="Q12" s="22"/>
      <c r="R12" s="22">
        <f>судисл!R12+нерехта!R12+ик1!R12+увд!R12+красное!R12+дет!R12+'2МО'!R12+роддом!R12+бог!R12+вохма!R12+межа!R12+кадый!R12+чухл!R12+орех!R12+галич!R12+остр!R12+волг!R12+кард!R12+областн!R12+Рожд!R12+шар!R12+поназ!R12+мант!R12+мак!R12+солиг!R12+кожн!R12+ФГУ!R12+муз1!R12+пыщ!R12+госп!R12+костр!R12+пав!R12+нея!R12+пар!R12+сус!R12+кол!R12+буй!R12+ант!R12+ОНКО!R12+цах!R12+узшар!R12+боб!R12+гавр!R12+цвд!R12+пол4!R12+спас!R12+эстетика!R12+чародей!R12+зубик!R12+ПРОЗР!R12+цпс!R12+азимут!R12+стдв!R12+ст.нер!R12+КРИСТ!R12+обл.ст!R12+стом1!R12+центр!R12+оптима!R12+нэс!R12+КРИСТ!R12</f>
        <v>15340</v>
      </c>
      <c r="S12" s="22"/>
      <c r="T12" s="22"/>
      <c r="U12" s="22"/>
      <c r="V12" s="22">
        <f>судисл!V12+нерехта!V12+ик1!V12+увд!V12+красное!V12+дет!V12+'2МО'!V12+роддом!V12+бог!V12+вохма!V12+межа!V12+кадый!V12+чухл!V12+орех!V12+галич!V12+остр!V12+волг!V12+кард!V12+областн!V12+Рожд!V12+шар!V12+поназ!V12+мант!V12+мак!V12+солиг!V12+кожн!V12+ФГУ!V12+муз1!V12+пыщ!V12+госп!V12+костр!V12+пав!V12+нея!V12+пар!V12+сус!V12+кол!V12+буй!V12+ант!V12+ОНКО!V12+цах!V12+узшар!V12+боб!V12+гавр!V12+цвд!V12+пол4!V12+спас!V12+эстетика!V12+чародей!V12+зубик!V12+ПРОЗР!V12+цпс!V12+азимут!V12+стдв!V12+ст.нер!V12+КРИСТ!V12+обл.ст!V12+стом1!V12+центр!V12+оптима!V12+нэс!V12+КРИСТ!V12+смп!V12</f>
        <v>14151</v>
      </c>
      <c r="W12" s="22"/>
      <c r="X12" s="22"/>
      <c r="Y12" s="22"/>
      <c r="Z12" s="22">
        <f>галич!Z12+шар!Z12+муз1!Z12+нэс!Z12</f>
        <v>1623</v>
      </c>
      <c r="AA12" s="22"/>
      <c r="AB12" s="22"/>
      <c r="AC12" s="22"/>
    </row>
    <row r="13" spans="1:29" x14ac:dyDescent="0.2">
      <c r="A13" s="1" t="s">
        <v>12</v>
      </c>
      <c r="B13" s="22">
        <f>судисл!B13+нерехта!B13+ик1!B13+увд!B13+красное!B13+дет!B13+'2МО'!B13+роддом!B13+бог!B13+вохма!B13+межа!B13+кадый!B13+чухл!B13+орех!B13+галич!B13+остр!B13+волг!B13+кард!B13+областн!B13+Рожд!B13+шар!B13+поназ!B13+мант!B13+мак!B13+солиг!B13+кожн!B13+ФГУ!B13+муз1!B13+пыщ!B13+госп!B13+костр!B13+пав!B13+нея!B13+пар!B13+сус!B13+кол!B13+буй!B13+ант!B13+ОНКО!B13+цах!B13+узшар!B13+боб!B13+гавр!B13+цвд!B13+пол4!B13+спас!B13+эстетика!B13+чародей!B13+зубик!B13+ПРОЗР!B13+цпс!B13+азимут!B13+стдв!B13+ст.нер!B13+КРИСТ!B13+обл.ст!B13+стом1!B13+центр!B13+оптима!B13+нэс!B13+КРИСТ!B13</f>
        <v>109181</v>
      </c>
      <c r="C13" s="22"/>
      <c r="D13" s="22"/>
      <c r="E13" s="22"/>
      <c r="F13" s="22">
        <f>судисл!F13+нерехта!F13+ик1!F13+увд!F13+красное!F13+дет!F13+'2МО'!F13+роддом!F13+бог!F13+вохма!F13+межа!F13+кадый!F13+чухл!F13+орех!F13+галич!F13+остр!F13+волг!F13+кард!F13+областн!F13+Рожд!F13+шар!F13+поназ!F13+мант!F13+мак!F13+солиг!F13+кожн!F13+ФГУ!F13+муз1!F13+пыщ!F13+госп!F13+костр!F13+пав!F13+нея!F13+пар!F13+сус!F13+кол!F13+буй!F13+ант!F13+ОНКО!F13+цах!F13+узшар!F13+боб!F13+гавр!F13+цвд!F13+пол4!F13+спас!F13+эстетика!F13+чародей!F13+зубик!F13+ПРОЗР!F13+цпс!F13+азимут!F13+стдв!F13+ст.нер!F13+КРИСТ!F13+обл.ст!F13+стом1!F13+центр!F13+оптима!F13+нэс!F13+КРИСТ!F13</f>
        <v>39888</v>
      </c>
      <c r="G13" s="22"/>
      <c r="H13" s="22"/>
      <c r="I13" s="125"/>
      <c r="J13" s="22">
        <f>судисл!J13+нерехта!J13+ик1!J13+увд!J13+красное!J13+дет!J13+'2МО'!J13+роддом!J13+бог!J13+вохма!J13+межа!J13+кадый!J13+чухл!J13+орех!J13+галич!J13+остр!J13+волг!J13+кард!J13+областн!J13+Рожд!J13+шар!J13+поназ!J13+мант!J13+мак!J13+солиг!J13+кожн!J13+ФГУ!J13+муз1!J13+пыщ!J13+госп!J13+костр!J13+пав!J13+нея!J13+пар!J13+сус!J13+кол!J13+буй!J13+ант!J13+ОНКО!J13+цах!J13+узшар!J13+боб!J13+гавр!J13+цвд!J13+пол4!J13+спас!J13+эстетика!J13+чародей!J13+зубик!J13+ПРОЗР!J13+цпс!J13+азимут!J13+стдв!J13+ст.нер!J13+КРИСТ!J13+обл.ст!J13+стом1!J13+центр!J13+оптима!J13+нэс!J13+КРИСТ!J13</f>
        <v>295537</v>
      </c>
      <c r="K13" s="22"/>
      <c r="L13" s="22"/>
      <c r="M13" s="22"/>
      <c r="N13" s="22">
        <f>судисл!N13+нерехта!N13+ик1!N13+увд!N13+красное!N13+дет!N13+'2МО'!N13+роддом!N13+бог!N13+вохма!N13+межа!N13+кадый!N13+чухл!N13+орех!N13+галич!N13+остр!N13+волг!N13+кард!N13+областн!N13+Рожд!N13+шар!N13+поназ!N13+мант!N13+мак!N13+солиг!N13+кожн!N13+ФГУ!N13+муз1!N13+пыщ!N13+госп!N13+костр!N13+пав!N13+нея!N13+пар!N13+сус!N13+кол!N13+буй!N13+ант!N13+ОНКО!N13+цах!N13+узшар!N13+боб!N13+гавр!N13+цвд!N13+пол4!N13+спас!N13+эстетика!N13+чародей!N13+зубик!N13+ПРОЗР!N13+цпс!N13+азимут!N13+стдв!N13+ст.нер!N13+КРИСТ!N13+обл.ст!N13+стом1!N13+центр!N13+оптима!N13+нэс!N13+КРИСТ!N13</f>
        <v>93113</v>
      </c>
      <c r="O13" s="22"/>
      <c r="P13" s="22"/>
      <c r="Q13" s="22"/>
      <c r="R13" s="22">
        <f>судисл!R13+нерехта!R13+ик1!R13+увд!R13+красное!R13+дет!R13+'2МО'!R13+роддом!R13+бог!R13+вохма!R13+межа!R13+кадый!R13+чухл!R13+орех!R13+галич!R13+остр!R13+волг!R13+кард!R13+областн!R13+Рожд!R13+шар!R13+поназ!R13+мант!R13+мак!R13+солиг!R13+кожн!R13+ФГУ!R13+муз1!R13+пыщ!R13+госп!R13+костр!R13+пав!R13+нея!R13+пар!R13+сус!R13+кол!R13+буй!R13+ант!R13+ОНКО!R13+цах!R13+узшар!R13+боб!R13+гавр!R13+цвд!R13+пол4!R13+спас!R13+эстетика!R13+чародей!R13+зубик!R13+ПРОЗР!R13+цпс!R13+азимут!R13+стдв!R13+ст.нер!R13+КРИСТ!R13+обл.ст!R13+стом1!R13+центр!R13+оптима!R13+нэс!R13+КРИСТ!R13</f>
        <v>15587</v>
      </c>
      <c r="S13" s="22"/>
      <c r="T13" s="22"/>
      <c r="U13" s="22"/>
      <c r="V13" s="22">
        <f>судисл!V13+нерехта!V13+ик1!V13+увд!V13+красное!V13+дет!V13+'2МО'!V13+роддом!V13+бог!V13+вохма!V13+межа!V13+кадый!V13+чухл!V13+орех!V13+галич!V13+остр!V13+волг!V13+кард!V13+областн!V13+Рожд!V13+шар!V13+поназ!V13+мант!V13+мак!V13+солиг!V13+кожн!V13+ФГУ!V13+муз1!V13+пыщ!V13+госп!V13+костр!V13+пав!V13+нея!V13+пар!V13+сус!V13+кол!V13+буй!V13+ант!V13+ОНКО!V13+цах!V13+узшар!V13+боб!V13+гавр!V13+цвд!V13+пол4!V13+спас!V13+эстетика!V13+чародей!V13+зубик!V13+ПРОЗР!V13+цпс!V13+азимут!V13+стдв!V13+ст.нер!V13+КРИСТ!V13+обл.ст!V13+стом1!V13+центр!V13+оптима!V13+нэс!V13+КРИСТ!V13+смп!V13</f>
        <v>14417</v>
      </c>
      <c r="W13" s="22"/>
      <c r="X13" s="22"/>
      <c r="Y13" s="22"/>
      <c r="Z13" s="22">
        <f>галич!Z13+шар!Z13+муз1!Z13+нэс!Z13</f>
        <v>1624</v>
      </c>
      <c r="AA13" s="22"/>
      <c r="AB13" s="22"/>
      <c r="AC13" s="22"/>
    </row>
    <row r="14" spans="1:29" x14ac:dyDescent="0.2">
      <c r="A14" s="1" t="s">
        <v>13</v>
      </c>
      <c r="B14" s="22">
        <f>судисл!B14+нерехта!B14+ик1!B14+увд!B14+красное!B14+дет!B14+'2МО'!B14+роддом!B14+бог!B14+вохма!B14+межа!B14+кадый!B14+чухл!B14+орех!B14+галич!B14+остр!B14+волг!B14+кард!B14+областн!B14+Рожд!B14+шар!B14+поназ!B14+мант!B14+мак!B14+солиг!B14+кожн!B14+ФГУ!B14+муз1!B14+пыщ!B14+госп!B14+костр!B14+пав!B14+нея!B14+пар!B14+сус!B14+кол!B14+буй!B14+ант!B14+ОНКО!B14+цах!B14+узшар!B14+боб!B14+гавр!B14+цвд!B14+пол4!B14+спас!B14+эстетика!B14+чародей!B14+зубик!B14+ПРОЗР!B14+цпс!B14+азимут!B14+стдв!B14+ст.нер!B14+КРИСТ!B14+обл.ст!B14+стом1!B14+центр!B14+оптима!B14+нэс!B14+КРИСТ!B14</f>
        <v>110070</v>
      </c>
      <c r="C14" s="22"/>
      <c r="D14" s="22"/>
      <c r="E14" s="22"/>
      <c r="F14" s="22">
        <f>судисл!F14+нерехта!F14+ик1!F14+увд!F14+красное!F14+дет!F14+'2МО'!F14+роддом!F14+бог!F14+вохма!F14+межа!F14+кадый!F14+чухл!F14+орех!F14+галич!F14+остр!F14+волг!F14+кард!F14+областн!F14+Рожд!F14+шар!F14+поназ!F14+мант!F14+мак!F14+солиг!F14+кожн!F14+ФГУ!F14+муз1!F14+пыщ!F14+госп!F14+костр!F14+пав!F14+нея!F14+пар!F14+сус!F14+кол!F14+буй!F14+ант!F14+ОНКО!F14+цах!F14+узшар!F14+боб!F14+гавр!F14+цвд!F14+пол4!F14+спас!F14+эстетика!F14+чародей!F14+зубик!F14+ПРОЗР!F14+цпс!F14+азимут!F14+стдв!F14+ст.нер!F14+КРИСТ!F14+обл.ст!F14+стом1!F14+центр!F14+оптима!F14+нэс!F14+КРИСТ!F14</f>
        <v>40238</v>
      </c>
      <c r="G14" s="22"/>
      <c r="H14" s="22"/>
      <c r="I14" s="125"/>
      <c r="J14" s="22">
        <f>судисл!J14+нерехта!J14+ик1!J14+увд!J14+красное!J14+дет!J14+'2МО'!J14+роддом!J14+бог!J14+вохма!J14+межа!J14+кадый!J14+чухл!J14+орех!J14+галич!J14+остр!J14+волг!J14+кард!J14+областн!J14+Рожд!J14+шар!J14+поназ!J14+мант!J14+мак!J14+солиг!J14+кожн!J14+ФГУ!J14+муз1!J14+пыщ!J14+госп!J14+костр!J14+пав!J14+нея!J14+пар!J14+сус!J14+кол!J14+буй!J14+ант!J14+ОНКО!J14+цах!J14+узшар!J14+боб!J14+гавр!J14+цвд!J14+пол4!J14+спас!J14+эстетика!J14+чародей!J14+зубик!J14+ПРОЗР!J14+цпс!J14+азимут!J14+стдв!J14+ст.нер!J14+КРИСТ!J14+обл.ст!J14+стом1!J14+центр!J14+оптима!J14+нэс!J14+КРИСТ!J14</f>
        <v>236697</v>
      </c>
      <c r="K14" s="22"/>
      <c r="L14" s="22"/>
      <c r="M14" s="22"/>
      <c r="N14" s="22">
        <f>судисл!N14+нерехта!N14+ик1!N14+увд!N14+красное!N14+дет!N14+'2МО'!N14+роддом!N14+бог!N14+вохма!N14+межа!N14+кадый!N14+чухл!N14+орех!N14+галич!N14+остр!N14+волг!N14+кард!N14+областн!N14+Рожд!N14+шар!N14+поназ!N14+мант!N14+мак!N14+солиг!N14+кожн!N14+ФГУ!N14+муз1!N14+пыщ!N14+госп!N14+костр!N14+пав!N14+нея!N14+пар!N14+сус!N14+кол!N14+буй!N14+ант!N14+ОНКО!N14+цах!N14+узшар!N14+боб!N14+гавр!N14+цвд!N14+пол4!N14+спас!N14+эстетика!N14+чародей!N14+зубик!N14+ПРОЗР!N14+цпс!N14+азимут!N14+стдв!N14+ст.нер!N14+КРИСТ!N14+обл.ст!N14+стом1!N14+центр!N14+оптима!N14+нэс!N14+КРИСТ!N14</f>
        <v>93853</v>
      </c>
      <c r="O14" s="22"/>
      <c r="P14" s="22"/>
      <c r="Q14" s="22"/>
      <c r="R14" s="22">
        <f>судисл!R14+нерехта!R14+ик1!R14+увд!R14+красное!R14+дет!R14+'2МО'!R14+роддом!R14+бог!R14+вохма!R14+межа!R14+кадый!R14+чухл!R14+орех!R14+галич!R14+остр!R14+волг!R14+кард!R14+областн!R14+Рожд!R14+шар!R14+поназ!R14+мант!R14+мак!R14+солиг!R14+кожн!R14+ФГУ!R14+муз1!R14+пыщ!R14+госп!R14+костр!R14+пав!R14+нея!R14+пар!R14+сус!R14+кол!R14+буй!R14+ант!R14+ОНКО!R14+цах!R14+узшар!R14+боб!R14+гавр!R14+цвд!R14+пол4!R14+спас!R14+эстетика!R14+чародей!R14+зубик!R14+ПРОЗР!R14+цпс!R14+азимут!R14+стдв!R14+ст.нер!R14+КРИСТ!R14+обл.ст!R14+стом1!R14+центр!R14+оптима!R14+нэс!R14+КРИСТ!R14</f>
        <v>15715</v>
      </c>
      <c r="S14" s="22"/>
      <c r="T14" s="22"/>
      <c r="U14" s="22"/>
      <c r="V14" s="22">
        <f>судисл!V14+нерехта!V14+ик1!V14+увд!V14+красное!V14+дет!V14+'2МО'!V14+роддом!V14+бог!V14+вохма!V14+межа!V14+кадый!V14+чухл!V14+орех!V14+галич!V14+остр!V14+волг!V14+кард!V14+областн!V14+Рожд!V14+шар!V14+поназ!V14+мант!V14+мак!V14+солиг!V14+кожн!V14+ФГУ!V14+муз1!V14+пыщ!V14+госп!V14+костр!V14+пав!V14+нея!V14+пар!V14+сус!V14+кол!V14+буй!V14+ант!V14+ОНКО!V14+цах!V14+узшар!V14+боб!V14+гавр!V14+цвд!V14+пол4!V14+спас!V14+эстетика!V14+чародей!V14+зубик!V14+ПРОЗР!V14+цпс!V14+азимут!V14+стдв!V14+ст.нер!V14+КРИСТ!V14+обл.ст!V14+стом1!V14+центр!V14+оптима!V14+нэс!V14+КРИСТ!V14+смп!V14</f>
        <v>14492</v>
      </c>
      <c r="W14" s="22"/>
      <c r="X14" s="22"/>
      <c r="Y14" s="22"/>
      <c r="Z14" s="22">
        <f>галич!Z14+шар!Z14+муз1!Z14+нэс!Z14</f>
        <v>1622</v>
      </c>
      <c r="AA14" s="22"/>
      <c r="AB14" s="22"/>
      <c r="AC14" s="22"/>
    </row>
    <row r="15" spans="1:29" x14ac:dyDescent="0.2">
      <c r="A15" s="1" t="s">
        <v>14</v>
      </c>
      <c r="B15" s="22">
        <f>судисл!B15+нерехта!B15+ик1!B15+увд!B15+красное!B15+дет!B15+'2МО'!B15+роддом!B15+бог!B15+вохма!B15+межа!B15+кадый!B15+чухл!B15+орех!B15+галич!B15+остр!B15+волг!B15+кард!B15+областн!B15+Рожд!B15+шар!B15+поназ!B15+мант!B15+мак!B15+солиг!B15+кожн!B15+ФГУ!B15+муз1!B15+пыщ!B15+госп!B15+костр!B15+пав!B15+нея!B15+пар!B15+сус!B15+кол!B15+буй!B15+ант!B15+ОНКО!B15+цах!B15+узшар!B15+боб!B15+гавр!B15+цвд!B15+пол4!B15+спас!B15+эстетика!B15+чародей!B15+зубик!B15+ПРОЗР!B15+цпс!B15+азимут!B15+стдв!B15+ст.нер!B15+КРИСТ!B15+обл.ст!B15+стом1!B15+центр!B15+оптима!B15+нэс!B15+КРИСТ!B15</f>
        <v>109902</v>
      </c>
      <c r="C15" s="22"/>
      <c r="D15" s="22"/>
      <c r="E15" s="22"/>
      <c r="F15" s="22">
        <f>судисл!F15+нерехта!F15+ик1!F15+увд!F15+красное!F15+дет!F15+'2МО'!F15+роддом!F15+бог!F15+вохма!F15+межа!F15+кадый!F15+чухл!F15+орех!F15+галич!F15+остр!F15+волг!F15+кард!F15+областн!F15+Рожд!F15+шар!F15+поназ!F15+мант!F15+мак!F15+солиг!F15+кожн!F15+ФГУ!F15+муз1!F15+пыщ!F15+госп!F15+костр!F15+пав!F15+нея!F15+пар!F15+сус!F15+кол!F15+буй!F15+ант!F15+ОНКО!F15+цах!F15+узшар!F15+боб!F15+гавр!F15+цвд!F15+пол4!F15+спас!F15+эстетика!F15+чародей!F15+зубик!F15+ПРОЗР!F15+цпс!F15+азимут!F15+стдв!F15+ст.нер!F15+КРИСТ!F15+обл.ст!F15+стом1!F15+центр!F15+оптима!F15+нэс!F15+КРИСТ!F15</f>
        <v>39652</v>
      </c>
      <c r="G15" s="22"/>
      <c r="H15" s="22"/>
      <c r="I15" s="125"/>
      <c r="J15" s="22">
        <f>судисл!J15+нерехта!J15+ик1!J15+увд!J15+красное!J15+дет!J15+'2МО'!J15+роддом!J15+бог!J15+вохма!J15+межа!J15+кадый!J15+чухл!J15+орех!J15+галич!J15+остр!J15+волг!J15+кард!J15+областн!J15+Рожд!J15+шар!J15+поназ!J15+мант!J15+мак!J15+солиг!J15+кожн!J15+ФГУ!J15+муз1!J15+пыщ!J15+госп!J15+костр!J15+пав!J15+нея!J15+пар!J15+сус!J15+кол!J15+буй!J15+ант!J15+ОНКО!J15+цах!J15+узшар!J15+боб!J15+гавр!J15+цвд!J15+пол4!J15+спас!J15+эстетика!J15+чародей!J15+зубик!J15+ПРОЗР!J15+цпс!J15+азимут!J15+стдв!J15+ст.нер!J15+КРИСТ!J15+обл.ст!J15+стом1!J15+центр!J15+оптима!J15+нэс!J15+КРИСТ!J15</f>
        <v>234733</v>
      </c>
      <c r="K15" s="22"/>
      <c r="L15" s="22"/>
      <c r="M15" s="22"/>
      <c r="N15" s="22">
        <f>судисл!N15+нерехта!N15+ик1!N15+увд!N15+красное!N15+дет!N15+'2МО'!N15+роддом!N15+бог!N15+вохма!N15+межа!N15+кадый!N15+чухл!N15+орех!N15+галич!N15+остр!N15+волг!N15+кард!N15+областн!N15+Рожд!N15+шар!N15+поназ!N15+мант!N15+мак!N15+солиг!N15+кожн!N15+ФГУ!N15+муз1!N15+пыщ!N15+госп!N15+костр!N15+пав!N15+нея!N15+пар!N15+сус!N15+кол!N15+буй!N15+ант!N15+ОНКО!N15+цах!N15+узшар!N15+боб!N15+гавр!N15+цвд!N15+пол4!N15+спас!N15+эстетика!N15+чародей!N15+зубик!N15+ПРОЗР!N15+цпс!N15+азимут!N15+стдв!N15+ст.нер!N15+КРИСТ!N15+обл.ст!N15+стом1!N15+центр!N15+оптима!N15+нэс!N15+КРИСТ!N15</f>
        <v>111776</v>
      </c>
      <c r="O15" s="22"/>
      <c r="P15" s="22"/>
      <c r="Q15" s="22"/>
      <c r="R15" s="22">
        <f>судисл!R15+нерехта!R15+ик1!R15+увд!R15+красное!R15+дет!R15+'2МО'!R15+роддом!R15+бог!R15+вохма!R15+межа!R15+кадый!R15+чухл!R15+орех!R15+галич!R15+остр!R15+волг!R15+кард!R15+областн!R15+Рожд!R15+шар!R15+поназ!R15+мант!R15+мак!R15+солиг!R15+кожн!R15+ФГУ!R15+муз1!R15+пыщ!R15+госп!R15+костр!R15+пав!R15+нея!R15+пар!R15+сус!R15+кол!R15+буй!R15+ант!R15+ОНКО!R15+цах!R15+узшар!R15+боб!R15+гавр!R15+цвд!R15+пол4!R15+спас!R15+эстетика!R15+чародей!R15+зубик!R15+ПРОЗР!R15+цпс!R15+азимут!R15+стдв!R15+ст.нер!R15+КРИСТ!R15+обл.ст!R15+стом1!R15+центр!R15+оптима!R15+нэс!R15+КРИСТ!R15</f>
        <v>52984</v>
      </c>
      <c r="S15" s="22"/>
      <c r="T15" s="22"/>
      <c r="U15" s="22"/>
      <c r="V15" s="22">
        <f>судисл!V15+нерехта!V15+ик1!V15+увд!V15+красное!V15+дет!V15+'2МО'!V15+роддом!V15+бог!V15+вохма!V15+межа!V15+кадый!V15+чухл!V15+орех!V15+галич!V15+остр!V15+волг!V15+кард!V15+областн!V15+Рожд!V15+шар!V15+поназ!V15+мант!V15+мак!V15+солиг!V15+кожн!V15+ФГУ!V15+муз1!V15+пыщ!V15+госп!V15+костр!V15+пав!V15+нея!V15+пар!V15+сус!V15+кол!V15+буй!V15+ант!V15+ОНКО!V15+цах!V15+узшар!V15+боб!V15+гавр!V15+цвд!V15+пол4!V15+спас!V15+эстетика!V15+чародей!V15+зубик!V15+ПРОЗР!V15+цпс!V15+азимут!V15+стдв!V15+ст.нер!V15+КРИСТ!V15+обл.ст!V15+стом1!V15+центр!V15+оптима!V15+нэс!V15+КРИСТ!V15+смп!V15</f>
        <v>14678</v>
      </c>
      <c r="W15" s="22"/>
      <c r="X15" s="22"/>
      <c r="Y15" s="22"/>
      <c r="Z15" s="22">
        <f>галич!Z15+шар!Z15+муз1!Z15+нэс!Z15</f>
        <v>1623</v>
      </c>
      <c r="AA15" s="22"/>
      <c r="AB15" s="22"/>
      <c r="AC15" s="22"/>
    </row>
    <row r="16" spans="1:29" x14ac:dyDescent="0.2">
      <c r="A16" s="1" t="s">
        <v>6</v>
      </c>
      <c r="B16" s="22">
        <f>SUM(B4:B15)</f>
        <v>1266642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>SUM(F4:F15)</f>
        <v>455723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>SUM(J4:J15)</f>
        <v>2758812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>SUM(N4:N15)</f>
        <v>1148244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>SUM(R4:R15)</f>
        <v>215735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>SUM(V4:V15)</f>
        <v>173809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>SUM(Z4:Z15)</f>
        <v>19172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198105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70004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324831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194227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27671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28592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3070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/>
      <c r="B18" s="30">
        <f t="shared" ref="B18:AC27" si="2">B17+B6</f>
        <v>305254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108396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497106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298547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41993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42772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4605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413687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147713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672744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402102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56303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56875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6181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517660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185884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833817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501070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70638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70816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7802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630662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227965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1057092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605426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85562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88054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9429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734243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262543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1388519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677051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101041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101976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11056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834584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298006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1695400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759814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116109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116071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12680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937489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335945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1991845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849502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131449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130222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14303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1046670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375833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2287382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942615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147036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144639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15927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1156740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416071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2524079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1036468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162751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159131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17549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1266642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48">
        <f t="shared" si="3"/>
        <v>455723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47">
        <f t="shared" si="3"/>
        <v>2758812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47">
        <f t="shared" si="3"/>
        <v>1148244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48">
        <f t="shared" si="3"/>
        <v>215735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48">
        <f t="shared" si="3"/>
        <v>173809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19172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  <row r="32" spans="1:29" x14ac:dyDescent="0.2">
      <c r="F32" s="349">
        <f>455723-F16</f>
        <v>0</v>
      </c>
      <c r="J32">
        <v>-18795</v>
      </c>
      <c r="N32">
        <v>-8634</v>
      </c>
    </row>
    <row r="52" spans="2:2" x14ac:dyDescent="0.2">
      <c r="B52" t="s">
        <v>274</v>
      </c>
    </row>
  </sheetData>
  <mergeCells count="9">
    <mergeCell ref="B1:D1"/>
    <mergeCell ref="F1:H1"/>
    <mergeCell ref="C2:E2"/>
    <mergeCell ref="G2:I2"/>
    <mergeCell ref="AA2:AC2"/>
    <mergeCell ref="K2:M2"/>
    <mergeCell ref="O2:Q2"/>
    <mergeCell ref="S2:U2"/>
    <mergeCell ref="W2:Y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G69" sqref="AG6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M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3" width="11.5703125" customWidth="1"/>
    <col min="4" max="5" width="10.7109375" customWidth="1"/>
    <col min="7" max="7" width="11" bestFit="1" customWidth="1"/>
    <col min="8" max="8" width="9.5703125" bestFit="1" customWidth="1"/>
    <col min="9" max="9" width="9.5703125" customWidth="1"/>
    <col min="12" max="12" width="9.5703125" bestFit="1" customWidth="1"/>
  </cols>
  <sheetData>
    <row r="1" spans="1:29" x14ac:dyDescent="0.2">
      <c r="A1" s="2" t="s">
        <v>3</v>
      </c>
      <c r="B1" s="357" t="s">
        <v>20</v>
      </c>
      <c r="C1" s="358"/>
      <c r="D1" s="357"/>
      <c r="E1" s="114"/>
      <c r="F1" s="359" t="s">
        <v>21</v>
      </c>
      <c r="G1" s="358"/>
      <c r="H1" s="358"/>
      <c r="I1" s="20"/>
      <c r="J1" s="19"/>
      <c r="K1" s="118" t="s">
        <v>22</v>
      </c>
      <c r="L1" s="119"/>
      <c r="N1" s="19"/>
      <c r="O1" s="118" t="s">
        <v>185</v>
      </c>
      <c r="P1" s="119"/>
      <c r="R1" s="19"/>
      <c r="S1" s="118" t="s">
        <v>193</v>
      </c>
      <c r="T1" s="119"/>
      <c r="V1" s="19"/>
      <c r="W1" s="118" t="s">
        <v>253</v>
      </c>
      <c r="X1" s="119"/>
      <c r="Z1" s="19"/>
      <c r="AA1" s="118" t="s">
        <v>173</v>
      </c>
      <c r="AB1" s="119"/>
    </row>
    <row r="2" spans="1:29" x14ac:dyDescent="0.2">
      <c r="A2" s="3" t="s">
        <v>3</v>
      </c>
      <c r="B2" s="6" t="s">
        <v>6</v>
      </c>
      <c r="C2" s="360" t="s">
        <v>25</v>
      </c>
      <c r="D2" s="357"/>
      <c r="E2" s="361"/>
      <c r="F2" s="6" t="s">
        <v>6</v>
      </c>
      <c r="G2" s="359" t="s">
        <v>25</v>
      </c>
      <c r="H2" s="358"/>
      <c r="I2" s="362"/>
      <c r="J2" s="5" t="s">
        <v>6</v>
      </c>
      <c r="K2" s="359" t="s">
        <v>25</v>
      </c>
      <c r="L2" s="358"/>
      <c r="M2" s="362"/>
      <c r="N2" s="5" t="s">
        <v>6</v>
      </c>
      <c r="O2" s="359" t="s">
        <v>25</v>
      </c>
      <c r="P2" s="358"/>
      <c r="Q2" s="362"/>
      <c r="R2" s="5" t="s">
        <v>6</v>
      </c>
      <c r="S2" s="359" t="s">
        <v>25</v>
      </c>
      <c r="T2" s="358"/>
      <c r="U2" s="362"/>
      <c r="V2" s="5" t="s">
        <v>6</v>
      </c>
      <c r="W2" s="359" t="s">
        <v>25</v>
      </c>
      <c r="X2" s="358"/>
      <c r="Y2" s="362"/>
      <c r="Z2" s="5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1"/>
      <c r="K3" s="15" t="s">
        <v>27</v>
      </c>
      <c r="L3" s="15" t="s">
        <v>26</v>
      </c>
      <c r="M3" s="115" t="s">
        <v>105</v>
      </c>
      <c r="N3" s="1"/>
      <c r="O3" s="15" t="s">
        <v>27</v>
      </c>
      <c r="P3" s="15" t="s">
        <v>26</v>
      </c>
      <c r="Q3" s="115" t="s">
        <v>105</v>
      </c>
      <c r="R3" s="1"/>
      <c r="S3" s="15" t="s">
        <v>27</v>
      </c>
      <c r="T3" s="15" t="s">
        <v>26</v>
      </c>
      <c r="U3" s="115" t="s">
        <v>105</v>
      </c>
      <c r="V3" s="1"/>
      <c r="W3" s="15" t="s">
        <v>27</v>
      </c>
      <c r="X3" s="15" t="s">
        <v>26</v>
      </c>
      <c r="Y3" s="115" t="s">
        <v>105</v>
      </c>
      <c r="Z3" s="1"/>
      <c r="AA3" s="15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214</v>
      </c>
      <c r="C4" s="22"/>
      <c r="D4" s="22"/>
      <c r="E4" s="22"/>
      <c r="F4" s="22">
        <v>375</v>
      </c>
      <c r="G4" s="22"/>
      <c r="H4" s="22"/>
      <c r="I4" s="125"/>
      <c r="J4" s="22">
        <v>634</v>
      </c>
      <c r="K4" s="22"/>
      <c r="L4" s="22"/>
      <c r="M4" s="22"/>
      <c r="N4" s="22">
        <v>775</v>
      </c>
      <c r="O4" s="22"/>
      <c r="P4" s="22"/>
      <c r="Q4" s="22"/>
      <c r="R4" s="22">
        <v>140</v>
      </c>
      <c r="S4" s="22"/>
      <c r="T4" s="22"/>
      <c r="U4" s="22"/>
      <c r="V4" s="22">
        <v>140</v>
      </c>
      <c r="W4" s="22"/>
      <c r="X4" s="22"/>
      <c r="Y4" s="22"/>
      <c r="Z4" s="22"/>
      <c r="AA4" s="22"/>
      <c r="AB4" s="22"/>
      <c r="AC4" s="22"/>
    </row>
    <row r="5" spans="1:29" x14ac:dyDescent="0.2">
      <c r="A5" s="1" t="s">
        <v>7</v>
      </c>
      <c r="B5" s="22">
        <v>214</v>
      </c>
      <c r="C5" s="22"/>
      <c r="D5" s="22"/>
      <c r="E5" s="22"/>
      <c r="F5" s="22">
        <v>375</v>
      </c>
      <c r="G5" s="22"/>
      <c r="H5" s="22"/>
      <c r="I5" s="125"/>
      <c r="J5" s="22">
        <v>634</v>
      </c>
      <c r="K5" s="22"/>
      <c r="L5" s="22"/>
      <c r="M5" s="22"/>
      <c r="N5" s="22">
        <v>775</v>
      </c>
      <c r="O5" s="22"/>
      <c r="P5" s="22"/>
      <c r="Q5" s="22"/>
      <c r="R5" s="22">
        <v>140</v>
      </c>
      <c r="S5" s="22"/>
      <c r="T5" s="22"/>
      <c r="U5" s="22"/>
      <c r="V5" s="22">
        <v>130</v>
      </c>
      <c r="W5" s="22"/>
      <c r="X5" s="22"/>
      <c r="Y5" s="22"/>
      <c r="Z5" s="22"/>
      <c r="AA5" s="22"/>
      <c r="AB5" s="22"/>
      <c r="AC5" s="22"/>
    </row>
    <row r="6" spans="1:29" x14ac:dyDescent="0.2">
      <c r="A6" s="1" t="s">
        <v>8</v>
      </c>
      <c r="B6" s="22">
        <v>213</v>
      </c>
      <c r="C6" s="22"/>
      <c r="D6" s="22"/>
      <c r="E6" s="22"/>
      <c r="F6" s="22">
        <v>375</v>
      </c>
      <c r="G6" s="22"/>
      <c r="H6" s="22"/>
      <c r="I6" s="125"/>
      <c r="J6" s="22">
        <v>634</v>
      </c>
      <c r="K6" s="22"/>
      <c r="L6" s="22"/>
      <c r="M6" s="22"/>
      <c r="N6" s="22">
        <v>775</v>
      </c>
      <c r="O6" s="22"/>
      <c r="P6" s="22"/>
      <c r="Q6" s="22"/>
      <c r="R6" s="22">
        <v>140</v>
      </c>
      <c r="S6" s="22"/>
      <c r="T6" s="22"/>
      <c r="U6" s="22"/>
      <c r="V6" s="22">
        <v>130</v>
      </c>
      <c r="W6" s="22"/>
      <c r="X6" s="22"/>
      <c r="Y6" s="22"/>
      <c r="Z6" s="22"/>
      <c r="AA6" s="22"/>
      <c r="AB6" s="22"/>
      <c r="AC6" s="22"/>
    </row>
    <row r="7" spans="1:29" x14ac:dyDescent="0.2">
      <c r="A7" s="1" t="s">
        <v>16</v>
      </c>
      <c r="B7" s="22">
        <v>213</v>
      </c>
      <c r="C7" s="22"/>
      <c r="D7" s="22"/>
      <c r="E7" s="22"/>
      <c r="F7" s="22">
        <v>375</v>
      </c>
      <c r="G7" s="22"/>
      <c r="H7" s="22"/>
      <c r="I7" s="125"/>
      <c r="J7" s="22">
        <v>634</v>
      </c>
      <c r="K7" s="22"/>
      <c r="L7" s="22"/>
      <c r="M7" s="22"/>
      <c r="N7" s="22">
        <v>775</v>
      </c>
      <c r="O7" s="22"/>
      <c r="P7" s="22"/>
      <c r="Q7" s="22"/>
      <c r="R7" s="22">
        <v>140</v>
      </c>
      <c r="S7" s="22"/>
      <c r="T7" s="22"/>
      <c r="U7" s="22"/>
      <c r="V7" s="22">
        <v>130</v>
      </c>
      <c r="W7" s="22"/>
      <c r="X7" s="22"/>
      <c r="Y7" s="22"/>
      <c r="Z7" s="22"/>
      <c r="AA7" s="22"/>
      <c r="AB7" s="22"/>
      <c r="AC7" s="22"/>
    </row>
    <row r="8" spans="1:29" x14ac:dyDescent="0.2">
      <c r="A8" s="1" t="s">
        <v>17</v>
      </c>
      <c r="B8" s="22">
        <v>213</v>
      </c>
      <c r="C8" s="22"/>
      <c r="D8" s="22"/>
      <c r="E8" s="22"/>
      <c r="F8" s="22">
        <v>375</v>
      </c>
      <c r="G8" s="22"/>
      <c r="H8" s="22"/>
      <c r="I8" s="125"/>
      <c r="J8" s="22">
        <v>644</v>
      </c>
      <c r="K8" s="22"/>
      <c r="L8" s="22"/>
      <c r="M8" s="22"/>
      <c r="N8" s="22">
        <v>775</v>
      </c>
      <c r="O8" s="22"/>
      <c r="P8" s="22"/>
      <c r="Q8" s="22"/>
      <c r="R8" s="22">
        <v>140</v>
      </c>
      <c r="S8" s="22"/>
      <c r="T8" s="22"/>
      <c r="U8" s="22"/>
      <c r="V8" s="22">
        <v>130</v>
      </c>
      <c r="W8" s="22"/>
      <c r="X8" s="22"/>
      <c r="Y8" s="22"/>
      <c r="Z8" s="22"/>
      <c r="AA8" s="22"/>
      <c r="AB8" s="22"/>
      <c r="AC8" s="22"/>
    </row>
    <row r="9" spans="1:29" x14ac:dyDescent="0.2">
      <c r="A9" s="1" t="s">
        <v>18</v>
      </c>
      <c r="B9" s="22">
        <v>213</v>
      </c>
      <c r="C9" s="22"/>
      <c r="D9" s="22"/>
      <c r="E9" s="22"/>
      <c r="F9" s="22">
        <v>375</v>
      </c>
      <c r="G9" s="22"/>
      <c r="H9" s="22"/>
      <c r="I9" s="125"/>
      <c r="J9" s="22">
        <v>644</v>
      </c>
      <c r="K9" s="22"/>
      <c r="L9" s="22"/>
      <c r="M9" s="22"/>
      <c r="N9" s="22">
        <v>775</v>
      </c>
      <c r="O9" s="22"/>
      <c r="P9" s="22"/>
      <c r="Q9" s="22"/>
      <c r="R9" s="22">
        <v>140</v>
      </c>
      <c r="S9" s="22"/>
      <c r="T9" s="22"/>
      <c r="U9" s="22"/>
      <c r="V9" s="22">
        <v>130</v>
      </c>
      <c r="W9" s="22"/>
      <c r="X9" s="22"/>
      <c r="Y9" s="22"/>
      <c r="Z9" s="22"/>
      <c r="AA9" s="22"/>
      <c r="AB9" s="22"/>
      <c r="AC9" s="22"/>
    </row>
    <row r="10" spans="1:29" x14ac:dyDescent="0.2">
      <c r="A10" s="82" t="s">
        <v>19</v>
      </c>
      <c r="B10" s="22">
        <v>213</v>
      </c>
      <c r="C10" s="22"/>
      <c r="D10" s="22"/>
      <c r="E10" s="22"/>
      <c r="F10" s="22">
        <v>375</v>
      </c>
      <c r="G10" s="22"/>
      <c r="H10" s="22"/>
      <c r="I10" s="125"/>
      <c r="J10" s="22">
        <v>1153</v>
      </c>
      <c r="K10" s="22"/>
      <c r="L10" s="22"/>
      <c r="M10" s="22"/>
      <c r="N10" s="22">
        <v>620</v>
      </c>
      <c r="O10" s="22"/>
      <c r="P10" s="22"/>
      <c r="Q10" s="22"/>
      <c r="R10" s="22">
        <v>14</v>
      </c>
      <c r="S10" s="22"/>
      <c r="T10" s="22"/>
      <c r="U10" s="22"/>
      <c r="V10" s="22">
        <f>120+10</f>
        <v>130</v>
      </c>
      <c r="W10" s="22"/>
      <c r="X10" s="22"/>
      <c r="Y10" s="22"/>
      <c r="Z10" s="22"/>
      <c r="AA10" s="22"/>
      <c r="AB10" s="22"/>
      <c r="AC10" s="22"/>
    </row>
    <row r="11" spans="1:29" x14ac:dyDescent="0.2">
      <c r="A11" s="1" t="s">
        <v>10</v>
      </c>
      <c r="B11" s="22">
        <v>213</v>
      </c>
      <c r="C11" s="22"/>
      <c r="D11" s="22"/>
      <c r="E11" s="22"/>
      <c r="F11" s="22">
        <v>375</v>
      </c>
      <c r="G11" s="22"/>
      <c r="H11" s="22"/>
      <c r="I11" s="125"/>
      <c r="J11" s="22">
        <v>1164</v>
      </c>
      <c r="K11" s="22"/>
      <c r="L11" s="22"/>
      <c r="M11" s="22"/>
      <c r="N11" s="22">
        <v>620</v>
      </c>
      <c r="O11" s="22"/>
      <c r="P11" s="22"/>
      <c r="Q11" s="22"/>
      <c r="R11" s="22">
        <v>14</v>
      </c>
      <c r="S11" s="22"/>
      <c r="T11" s="22"/>
      <c r="U11" s="22"/>
      <c r="V11" s="22">
        <f>120+10</f>
        <v>130</v>
      </c>
      <c r="W11" s="22"/>
      <c r="X11" s="22"/>
      <c r="Y11" s="22"/>
      <c r="Z11" s="22"/>
      <c r="AA11" s="22"/>
      <c r="AB11" s="22"/>
      <c r="AC11" s="22"/>
    </row>
    <row r="12" spans="1:29" x14ac:dyDescent="0.2">
      <c r="A12" s="1" t="s">
        <v>11</v>
      </c>
      <c r="B12" s="22">
        <v>213</v>
      </c>
      <c r="C12" s="22"/>
      <c r="D12" s="22"/>
      <c r="E12" s="22"/>
      <c r="F12" s="22">
        <v>375</v>
      </c>
      <c r="G12" s="22"/>
      <c r="H12" s="22"/>
      <c r="I12" s="125"/>
      <c r="J12" s="22">
        <v>1164</v>
      </c>
      <c r="K12" s="22"/>
      <c r="L12" s="22"/>
      <c r="M12" s="22"/>
      <c r="N12" s="22">
        <v>630</v>
      </c>
      <c r="O12" s="22"/>
      <c r="P12" s="22"/>
      <c r="Q12" s="22"/>
      <c r="R12" s="22">
        <v>14</v>
      </c>
      <c r="S12" s="22"/>
      <c r="T12" s="22"/>
      <c r="U12" s="22"/>
      <c r="V12" s="22">
        <f>120+10</f>
        <v>130</v>
      </c>
      <c r="W12" s="22"/>
      <c r="X12" s="22"/>
      <c r="Y12" s="22"/>
      <c r="Z12" s="22"/>
      <c r="AA12" s="22"/>
      <c r="AB12" s="22"/>
      <c r="AC12" s="22"/>
    </row>
    <row r="13" spans="1:29" x14ac:dyDescent="0.2">
      <c r="A13" s="1" t="s">
        <v>12</v>
      </c>
      <c r="B13" s="22">
        <v>213</v>
      </c>
      <c r="C13" s="22"/>
      <c r="D13" s="22"/>
      <c r="E13" s="22"/>
      <c r="F13" s="22">
        <v>375</v>
      </c>
      <c r="G13" s="22"/>
      <c r="H13" s="22"/>
      <c r="I13" s="125"/>
      <c r="J13" s="22">
        <v>1164</v>
      </c>
      <c r="K13" s="22"/>
      <c r="L13" s="22"/>
      <c r="M13" s="22"/>
      <c r="N13" s="22">
        <v>640</v>
      </c>
      <c r="O13" s="22"/>
      <c r="P13" s="22"/>
      <c r="Q13" s="22"/>
      <c r="R13" s="22">
        <v>13</v>
      </c>
      <c r="S13" s="22"/>
      <c r="T13" s="22"/>
      <c r="U13" s="22"/>
      <c r="V13" s="22">
        <f>120+10</f>
        <v>130</v>
      </c>
      <c r="W13" s="22"/>
      <c r="X13" s="22"/>
      <c r="Y13" s="22"/>
      <c r="Z13" s="22"/>
      <c r="AA13" s="22"/>
      <c r="AB13" s="22"/>
      <c r="AC13" s="22"/>
    </row>
    <row r="14" spans="1:29" x14ac:dyDescent="0.2">
      <c r="A14" s="1" t="s">
        <v>13</v>
      </c>
      <c r="B14" s="22">
        <v>214</v>
      </c>
      <c r="C14" s="22"/>
      <c r="D14" s="22"/>
      <c r="E14" s="22"/>
      <c r="F14" s="22">
        <v>375</v>
      </c>
      <c r="G14" s="22"/>
      <c r="H14" s="22"/>
      <c r="I14" s="125"/>
      <c r="J14" s="22">
        <v>1164</v>
      </c>
      <c r="K14" s="22"/>
      <c r="L14" s="22"/>
      <c r="M14" s="22"/>
      <c r="N14" s="22">
        <v>640</v>
      </c>
      <c r="O14" s="22"/>
      <c r="P14" s="22"/>
      <c r="Q14" s="22"/>
      <c r="R14" s="22">
        <v>13</v>
      </c>
      <c r="S14" s="22"/>
      <c r="T14" s="22"/>
      <c r="U14" s="22"/>
      <c r="V14" s="22">
        <f>120+10</f>
        <v>130</v>
      </c>
      <c r="W14" s="22"/>
      <c r="X14" s="22"/>
      <c r="Y14" s="22"/>
      <c r="Z14" s="22"/>
      <c r="AA14" s="22"/>
      <c r="AB14" s="22"/>
      <c r="AC14" s="22"/>
    </row>
    <row r="15" spans="1:29" x14ac:dyDescent="0.2">
      <c r="A15" s="1" t="s">
        <v>14</v>
      </c>
      <c r="B15" s="22">
        <v>214</v>
      </c>
      <c r="C15" s="22"/>
      <c r="D15" s="22"/>
      <c r="E15" s="22"/>
      <c r="F15" s="22">
        <v>375</v>
      </c>
      <c r="G15" s="22"/>
      <c r="H15" s="22"/>
      <c r="I15" s="125"/>
      <c r="J15" s="22">
        <v>1164</v>
      </c>
      <c r="K15" s="22"/>
      <c r="L15" s="22"/>
      <c r="M15" s="22"/>
      <c r="N15" s="22">
        <v>621</v>
      </c>
      <c r="O15" s="22"/>
      <c r="P15" s="22"/>
      <c r="Q15" s="22"/>
      <c r="R15" s="22">
        <v>13</v>
      </c>
      <c r="S15" s="22"/>
      <c r="T15" s="22"/>
      <c r="U15" s="22"/>
      <c r="V15" s="22">
        <v>130</v>
      </c>
      <c r="W15" s="22"/>
      <c r="X15" s="22"/>
      <c r="Y15" s="22"/>
      <c r="Z15" s="22"/>
      <c r="AA15" s="22"/>
      <c r="AB15" s="22"/>
      <c r="AC15" s="22"/>
    </row>
    <row r="16" spans="1:29" x14ac:dyDescent="0.2">
      <c r="A16" s="1" t="s">
        <v>6</v>
      </c>
      <c r="B16" s="22">
        <f>SUM(B4:B15)</f>
        <v>2560</v>
      </c>
      <c r="C16" s="22">
        <f t="shared" ref="C16:AC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4500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10797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8421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921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1570</v>
      </c>
      <c r="W16" s="22">
        <f t="shared" si="0"/>
        <v>0</v>
      </c>
      <c r="X16" s="22">
        <f t="shared" si="0"/>
        <v>0</v>
      </c>
      <c r="Y16" s="22">
        <f t="shared" si="0"/>
        <v>0</v>
      </c>
      <c r="Z16" s="22">
        <f t="shared" si="0"/>
        <v>0</v>
      </c>
      <c r="AA16" s="22">
        <f t="shared" si="0"/>
        <v>0</v>
      </c>
      <c r="AB16" s="22">
        <f t="shared" si="0"/>
        <v>0</v>
      </c>
      <c r="AC16" s="22">
        <f t="shared" si="0"/>
        <v>0</v>
      </c>
    </row>
    <row r="17" spans="1:29" x14ac:dyDescent="0.2">
      <c r="A17" s="28" t="s">
        <v>28</v>
      </c>
      <c r="B17" s="30">
        <f>B4+B5</f>
        <v>428</v>
      </c>
      <c r="C17" s="30">
        <f t="shared" ref="C17:AC17" si="1">C4+C5</f>
        <v>0</v>
      </c>
      <c r="D17" s="30">
        <f t="shared" si="1"/>
        <v>0</v>
      </c>
      <c r="E17" s="30">
        <f>E4+E5</f>
        <v>0</v>
      </c>
      <c r="F17" s="30">
        <f t="shared" si="1"/>
        <v>750</v>
      </c>
      <c r="G17" s="30">
        <f t="shared" si="1"/>
        <v>0</v>
      </c>
      <c r="H17" s="30">
        <f t="shared" si="1"/>
        <v>0</v>
      </c>
      <c r="I17" s="30">
        <f>I4+I5</f>
        <v>0</v>
      </c>
      <c r="J17" s="30">
        <f t="shared" si="1"/>
        <v>1268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1550</v>
      </c>
      <c r="O17" s="30">
        <f t="shared" si="1"/>
        <v>0</v>
      </c>
      <c r="P17" s="30">
        <f t="shared" si="1"/>
        <v>0</v>
      </c>
      <c r="Q17" s="30">
        <f t="shared" si="1"/>
        <v>0</v>
      </c>
      <c r="R17" s="30">
        <f t="shared" si="1"/>
        <v>280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270</v>
      </c>
      <c r="W17" s="30">
        <f t="shared" si="1"/>
        <v>0</v>
      </c>
      <c r="X17" s="30">
        <f t="shared" si="1"/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</row>
    <row r="18" spans="1:29" x14ac:dyDescent="0.2">
      <c r="A18" s="28" t="s">
        <v>96</v>
      </c>
      <c r="B18" s="30">
        <f t="shared" ref="B18:AC27" si="2">B17+B6</f>
        <v>641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1125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1902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2325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420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400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</row>
    <row r="19" spans="1:29" x14ac:dyDescent="0.2">
      <c r="A19" s="28" t="s">
        <v>29</v>
      </c>
      <c r="B19" s="30">
        <f t="shared" si="2"/>
        <v>854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1500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2536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3100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560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530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</row>
    <row r="20" spans="1:29" x14ac:dyDescent="0.2">
      <c r="A20" s="28" t="s">
        <v>30</v>
      </c>
      <c r="B20" s="30">
        <f t="shared" si="2"/>
        <v>1067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1875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3180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3875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700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660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30">
        <f t="shared" si="2"/>
        <v>0</v>
      </c>
      <c r="AB20" s="30">
        <f t="shared" si="2"/>
        <v>0</v>
      </c>
      <c r="AC20" s="30">
        <f t="shared" si="2"/>
        <v>0</v>
      </c>
    </row>
    <row r="21" spans="1:29" x14ac:dyDescent="0.2">
      <c r="A21" s="28" t="s">
        <v>31</v>
      </c>
      <c r="B21" s="30">
        <f t="shared" si="2"/>
        <v>1280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2250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3824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4650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840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790</v>
      </c>
      <c r="W21" s="30">
        <f t="shared" si="2"/>
        <v>0</v>
      </c>
      <c r="X21" s="30">
        <f t="shared" si="2"/>
        <v>0</v>
      </c>
      <c r="Y21" s="30">
        <f t="shared" si="2"/>
        <v>0</v>
      </c>
      <c r="Z21" s="30">
        <f t="shared" si="2"/>
        <v>0</v>
      </c>
      <c r="AA21" s="30">
        <f t="shared" si="2"/>
        <v>0</v>
      </c>
      <c r="AB21" s="30">
        <f t="shared" si="2"/>
        <v>0</v>
      </c>
      <c r="AC21" s="30">
        <f t="shared" si="2"/>
        <v>0</v>
      </c>
    </row>
    <row r="22" spans="1:29" x14ac:dyDescent="0.2">
      <c r="A22" s="28" t="s">
        <v>32</v>
      </c>
      <c r="B22" s="30">
        <f t="shared" si="2"/>
        <v>1493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2625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4977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5270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854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920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30">
        <f t="shared" si="2"/>
        <v>0</v>
      </c>
      <c r="AB22" s="30">
        <f t="shared" si="2"/>
        <v>0</v>
      </c>
      <c r="AC22" s="30">
        <f t="shared" si="2"/>
        <v>0</v>
      </c>
    </row>
    <row r="23" spans="1:29" x14ac:dyDescent="0.2">
      <c r="A23" s="28" t="s">
        <v>33</v>
      </c>
      <c r="B23" s="30">
        <f t="shared" si="2"/>
        <v>1706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3000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6141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5890</v>
      </c>
      <c r="O23" s="30">
        <f t="shared" si="2"/>
        <v>0</v>
      </c>
      <c r="P23" s="30">
        <f t="shared" si="2"/>
        <v>0</v>
      </c>
      <c r="Q23" s="30">
        <f t="shared" si="2"/>
        <v>0</v>
      </c>
      <c r="R23" s="30">
        <f t="shared" si="2"/>
        <v>868</v>
      </c>
      <c r="S23" s="30">
        <f t="shared" si="2"/>
        <v>0</v>
      </c>
      <c r="T23" s="30">
        <f t="shared" si="2"/>
        <v>0</v>
      </c>
      <c r="U23" s="30">
        <f t="shared" si="2"/>
        <v>0</v>
      </c>
      <c r="V23" s="30">
        <f t="shared" si="2"/>
        <v>1050</v>
      </c>
      <c r="W23" s="30">
        <f t="shared" si="2"/>
        <v>0</v>
      </c>
      <c r="X23" s="30">
        <f t="shared" si="2"/>
        <v>0</v>
      </c>
      <c r="Y23" s="30">
        <f t="shared" si="2"/>
        <v>0</v>
      </c>
      <c r="Z23" s="30">
        <f t="shared" si="2"/>
        <v>0</v>
      </c>
      <c r="AA23" s="30">
        <f t="shared" si="2"/>
        <v>0</v>
      </c>
      <c r="AB23" s="30">
        <f t="shared" si="2"/>
        <v>0</v>
      </c>
      <c r="AC23" s="30">
        <f t="shared" si="2"/>
        <v>0</v>
      </c>
    </row>
    <row r="24" spans="1:29" x14ac:dyDescent="0.2">
      <c r="A24" s="28" t="s">
        <v>34</v>
      </c>
      <c r="B24" s="30">
        <f t="shared" si="2"/>
        <v>1919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3375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7305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6520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882</v>
      </c>
      <c r="S24" s="30">
        <f t="shared" si="2"/>
        <v>0</v>
      </c>
      <c r="T24" s="30">
        <f t="shared" si="2"/>
        <v>0</v>
      </c>
      <c r="U24" s="30">
        <f t="shared" si="2"/>
        <v>0</v>
      </c>
      <c r="V24" s="30">
        <f t="shared" si="2"/>
        <v>1180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30">
        <f t="shared" si="2"/>
        <v>0</v>
      </c>
      <c r="AA24" s="30">
        <f t="shared" si="2"/>
        <v>0</v>
      </c>
      <c r="AB24" s="30">
        <f t="shared" si="2"/>
        <v>0</v>
      </c>
      <c r="AC24" s="30">
        <f t="shared" si="2"/>
        <v>0</v>
      </c>
    </row>
    <row r="25" spans="1:29" x14ac:dyDescent="0.2">
      <c r="A25" s="29" t="s">
        <v>35</v>
      </c>
      <c r="B25" s="30">
        <f t="shared" si="2"/>
        <v>2132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3750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8469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7160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895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1310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0">
        <f t="shared" si="2"/>
        <v>0</v>
      </c>
      <c r="AA25" s="30">
        <f t="shared" si="2"/>
        <v>0</v>
      </c>
      <c r="AB25" s="30">
        <f t="shared" si="2"/>
        <v>0</v>
      </c>
      <c r="AC25" s="30">
        <f t="shared" si="2"/>
        <v>0</v>
      </c>
    </row>
    <row r="26" spans="1:29" x14ac:dyDescent="0.2">
      <c r="A26" s="29" t="s">
        <v>36</v>
      </c>
      <c r="B26" s="30">
        <f t="shared" si="2"/>
        <v>2346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4125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9633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7800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908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1440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</row>
    <row r="27" spans="1:29" x14ac:dyDescent="0.2">
      <c r="A27" s="12" t="s">
        <v>15</v>
      </c>
      <c r="B27" s="32">
        <f t="shared" si="2"/>
        <v>2560</v>
      </c>
      <c r="C27" s="32">
        <f t="shared" si="2"/>
        <v>0</v>
      </c>
      <c r="D27" s="32">
        <f t="shared" si="2"/>
        <v>0</v>
      </c>
      <c r="E27" s="32">
        <f t="shared" ref="E27:AC27" si="3">E26+E15</f>
        <v>0</v>
      </c>
      <c r="F27" s="32">
        <f t="shared" si="3"/>
        <v>4500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10797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8421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921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1570</v>
      </c>
      <c r="W27" s="32">
        <f t="shared" si="3"/>
        <v>0</v>
      </c>
      <c r="X27" s="32">
        <f t="shared" si="3"/>
        <v>0</v>
      </c>
      <c r="Y27" s="32">
        <f t="shared" si="3"/>
        <v>0</v>
      </c>
      <c r="Z27" s="32">
        <f t="shared" si="3"/>
        <v>0</v>
      </c>
      <c r="AA27" s="32">
        <f t="shared" si="3"/>
        <v>0</v>
      </c>
      <c r="AB27" s="32">
        <f t="shared" si="3"/>
        <v>0</v>
      </c>
      <c r="AC27" s="32">
        <f t="shared" si="3"/>
        <v>0</v>
      </c>
    </row>
  </sheetData>
  <mergeCells count="9">
    <mergeCell ref="O2:Q2"/>
    <mergeCell ref="S2:U2"/>
    <mergeCell ref="W2:Y2"/>
    <mergeCell ref="AA2:AC2"/>
    <mergeCell ref="K2:M2"/>
    <mergeCell ref="B1:D1"/>
    <mergeCell ref="F1:H1"/>
    <mergeCell ref="C2:E2"/>
    <mergeCell ref="G2:I2"/>
  </mergeCells>
  <phoneticPr fontId="0" type="noConversion"/>
  <pageMargins left="0.75" right="0.75" top="1" bottom="1" header="0.5" footer="0.5"/>
  <pageSetup paperSize="9" scale="36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>
      <pane xSplit="1" ySplit="3" topLeftCell="B4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RowHeight="12.75" x14ac:dyDescent="0.2"/>
  <cols>
    <col min="1" max="1" width="12.28515625" customWidth="1"/>
    <col min="3" max="4" width="12" bestFit="1" customWidth="1"/>
    <col min="5" max="5" width="12" customWidth="1"/>
    <col min="7" max="7" width="11" bestFit="1" customWidth="1"/>
    <col min="8" max="8" width="9.5703125" bestFit="1" customWidth="1"/>
    <col min="9" max="9" width="9.5703125" customWidth="1"/>
    <col min="12" max="12" width="12" bestFit="1" customWidth="1"/>
  </cols>
  <sheetData>
    <row r="1" spans="1:29" x14ac:dyDescent="0.2">
      <c r="A1" s="2"/>
      <c r="B1" s="365" t="s">
        <v>0</v>
      </c>
      <c r="C1" s="365"/>
      <c r="D1" s="365"/>
      <c r="E1" s="117"/>
      <c r="F1" s="359" t="s">
        <v>1</v>
      </c>
      <c r="G1" s="358"/>
      <c r="H1" s="358"/>
      <c r="I1" s="20"/>
      <c r="J1" s="19"/>
      <c r="K1" s="24" t="s">
        <v>2</v>
      </c>
      <c r="L1" s="25"/>
      <c r="N1" s="365" t="s">
        <v>192</v>
      </c>
      <c r="O1" s="365"/>
      <c r="P1" s="365"/>
      <c r="Q1" s="117"/>
      <c r="R1" s="359" t="s">
        <v>193</v>
      </c>
      <c r="S1" s="358"/>
      <c r="T1" s="358"/>
      <c r="U1" s="20"/>
      <c r="V1" s="19"/>
      <c r="W1" s="24" t="s">
        <v>253</v>
      </c>
      <c r="X1" s="25"/>
      <c r="Z1" s="19"/>
      <c r="AA1" s="363" t="s">
        <v>173</v>
      </c>
      <c r="AB1" s="364"/>
      <c r="AC1" s="364"/>
    </row>
    <row r="2" spans="1:29" x14ac:dyDescent="0.2">
      <c r="A2" s="3" t="s">
        <v>3</v>
      </c>
      <c r="B2" s="6" t="s">
        <v>6</v>
      </c>
      <c r="C2" s="359" t="s">
        <v>25</v>
      </c>
      <c r="D2" s="358"/>
      <c r="E2" s="362"/>
      <c r="F2" s="6" t="s">
        <v>6</v>
      </c>
      <c r="G2" s="359" t="s">
        <v>25</v>
      </c>
      <c r="H2" s="358"/>
      <c r="I2" s="362"/>
      <c r="J2" s="7" t="s">
        <v>6</v>
      </c>
      <c r="K2" s="359" t="s">
        <v>25</v>
      </c>
      <c r="L2" s="358"/>
      <c r="M2" s="362"/>
      <c r="N2" s="6" t="s">
        <v>6</v>
      </c>
      <c r="O2" s="359" t="s">
        <v>25</v>
      </c>
      <c r="P2" s="358"/>
      <c r="Q2" s="362"/>
      <c r="R2" s="6" t="s">
        <v>6</v>
      </c>
      <c r="S2" s="359" t="s">
        <v>25</v>
      </c>
      <c r="T2" s="358"/>
      <c r="U2" s="362"/>
      <c r="V2" s="7" t="s">
        <v>6</v>
      </c>
      <c r="W2" s="359" t="s">
        <v>25</v>
      </c>
      <c r="X2" s="358"/>
      <c r="Y2" s="362"/>
      <c r="Z2" s="7" t="s">
        <v>6</v>
      </c>
      <c r="AA2" s="359" t="s">
        <v>25</v>
      </c>
      <c r="AB2" s="358"/>
      <c r="AC2" s="362"/>
    </row>
    <row r="3" spans="1:29" x14ac:dyDescent="0.2">
      <c r="A3" s="4"/>
      <c r="B3" s="9"/>
      <c r="C3" s="17" t="s">
        <v>27</v>
      </c>
      <c r="D3" s="15" t="s">
        <v>26</v>
      </c>
      <c r="E3" s="115" t="s">
        <v>105</v>
      </c>
      <c r="F3" s="9"/>
      <c r="G3" s="17" t="s">
        <v>27</v>
      </c>
      <c r="H3" s="15" t="s">
        <v>26</v>
      </c>
      <c r="I3" s="115" t="s">
        <v>105</v>
      </c>
      <c r="J3" s="7"/>
      <c r="K3" s="17" t="s">
        <v>27</v>
      </c>
      <c r="L3" s="15" t="s">
        <v>26</v>
      </c>
      <c r="M3" s="115" t="s">
        <v>105</v>
      </c>
      <c r="N3" s="9"/>
      <c r="O3" s="17" t="s">
        <v>27</v>
      </c>
      <c r="P3" s="15" t="s">
        <v>26</v>
      </c>
      <c r="Q3" s="115" t="s">
        <v>105</v>
      </c>
      <c r="R3" s="9"/>
      <c r="S3" s="17" t="s">
        <v>27</v>
      </c>
      <c r="T3" s="15" t="s">
        <v>26</v>
      </c>
      <c r="U3" s="115" t="s">
        <v>105</v>
      </c>
      <c r="V3" s="7"/>
      <c r="W3" s="17" t="s">
        <v>27</v>
      </c>
      <c r="X3" s="15" t="s">
        <v>26</v>
      </c>
      <c r="Y3" s="115" t="s">
        <v>105</v>
      </c>
      <c r="Z3" s="7"/>
      <c r="AA3" s="17" t="s">
        <v>27</v>
      </c>
      <c r="AB3" s="15" t="s">
        <v>26</v>
      </c>
      <c r="AC3" s="115" t="s">
        <v>105</v>
      </c>
    </row>
    <row r="4" spans="1:29" x14ac:dyDescent="0.2">
      <c r="A4" s="1" t="s">
        <v>4</v>
      </c>
      <c r="B4" s="22">
        <v>5267</v>
      </c>
      <c r="C4" s="22"/>
      <c r="D4" s="22"/>
      <c r="E4" s="22"/>
      <c r="F4" s="22">
        <v>1151</v>
      </c>
      <c r="G4" s="22"/>
      <c r="H4" s="22"/>
      <c r="I4" s="22"/>
      <c r="J4" s="22">
        <v>3651</v>
      </c>
      <c r="K4" s="22"/>
      <c r="L4" s="22"/>
      <c r="M4" s="124"/>
      <c r="N4" s="22">
        <v>3358</v>
      </c>
      <c r="O4" s="22"/>
      <c r="P4" s="22"/>
      <c r="Q4" s="22"/>
      <c r="R4" s="22">
        <v>1200</v>
      </c>
      <c r="S4" s="22"/>
      <c r="T4" s="22"/>
      <c r="U4" s="22"/>
      <c r="V4" s="22"/>
      <c r="W4" s="22"/>
      <c r="X4" s="22"/>
      <c r="Y4" s="124"/>
      <c r="Z4" s="22"/>
      <c r="AA4" s="22"/>
      <c r="AB4" s="22"/>
      <c r="AC4" s="124"/>
    </row>
    <row r="5" spans="1:29" x14ac:dyDescent="0.2">
      <c r="A5" s="1" t="s">
        <v>7</v>
      </c>
      <c r="B5" s="22">
        <v>4769</v>
      </c>
      <c r="C5" s="22"/>
      <c r="D5" s="22"/>
      <c r="E5" s="22"/>
      <c r="F5" s="22">
        <v>1073</v>
      </c>
      <c r="G5" s="22"/>
      <c r="H5" s="22"/>
      <c r="I5" s="22"/>
      <c r="J5" s="22">
        <v>5944</v>
      </c>
      <c r="K5" s="22"/>
      <c r="L5" s="22"/>
      <c r="M5" s="124"/>
      <c r="N5" s="22">
        <v>4347</v>
      </c>
      <c r="O5" s="22"/>
      <c r="P5" s="22"/>
      <c r="Q5" s="22"/>
      <c r="R5" s="22">
        <v>1400</v>
      </c>
      <c r="S5" s="22"/>
      <c r="T5" s="22"/>
      <c r="U5" s="22"/>
      <c r="V5" s="22"/>
      <c r="W5" s="22"/>
      <c r="X5" s="22"/>
      <c r="Y5" s="124"/>
      <c r="Z5" s="22"/>
      <c r="AA5" s="22"/>
      <c r="AB5" s="22"/>
      <c r="AC5" s="124"/>
    </row>
    <row r="6" spans="1:29" x14ac:dyDescent="0.2">
      <c r="A6" s="1" t="s">
        <v>8</v>
      </c>
      <c r="B6" s="22">
        <v>5267</v>
      </c>
      <c r="C6" s="22"/>
      <c r="D6" s="22"/>
      <c r="E6" s="22"/>
      <c r="F6" s="22">
        <v>1153</v>
      </c>
      <c r="G6" s="22"/>
      <c r="H6" s="22"/>
      <c r="I6" s="22"/>
      <c r="J6" s="22">
        <v>6183</v>
      </c>
      <c r="K6" s="22"/>
      <c r="L6" s="22"/>
      <c r="M6" s="124"/>
      <c r="N6" s="22">
        <v>4620</v>
      </c>
      <c r="O6" s="22"/>
      <c r="P6" s="22"/>
      <c r="Q6" s="22"/>
      <c r="R6" s="22">
        <v>1400</v>
      </c>
      <c r="S6" s="22"/>
      <c r="T6" s="22"/>
      <c r="U6" s="22"/>
      <c r="V6" s="22"/>
      <c r="W6" s="22"/>
      <c r="X6" s="22"/>
      <c r="Y6" s="124"/>
      <c r="Z6" s="22"/>
      <c r="AA6" s="22"/>
      <c r="AB6" s="22"/>
      <c r="AC6" s="124"/>
    </row>
    <row r="7" spans="1:29" x14ac:dyDescent="0.2">
      <c r="A7" s="1" t="s">
        <v>16</v>
      </c>
      <c r="B7" s="22">
        <v>5088</v>
      </c>
      <c r="C7" s="22"/>
      <c r="D7" s="22"/>
      <c r="E7" s="22"/>
      <c r="F7" s="22">
        <v>1122</v>
      </c>
      <c r="G7" s="22"/>
      <c r="H7" s="22"/>
      <c r="I7" s="22"/>
      <c r="J7" s="22">
        <v>6867</v>
      </c>
      <c r="K7" s="22"/>
      <c r="L7" s="22"/>
      <c r="M7" s="124"/>
      <c r="N7" s="22">
        <v>4634</v>
      </c>
      <c r="O7" s="22"/>
      <c r="P7" s="22"/>
      <c r="Q7" s="22"/>
      <c r="R7" s="22">
        <v>1300</v>
      </c>
      <c r="S7" s="22"/>
      <c r="T7" s="22"/>
      <c r="U7" s="22"/>
      <c r="V7" s="22"/>
      <c r="W7" s="22"/>
      <c r="X7" s="22"/>
      <c r="Y7" s="124"/>
      <c r="Z7" s="22"/>
      <c r="AA7" s="22"/>
      <c r="AB7" s="22"/>
      <c r="AC7" s="124"/>
    </row>
    <row r="8" spans="1:29" x14ac:dyDescent="0.2">
      <c r="A8" s="1" t="s">
        <v>17</v>
      </c>
      <c r="B8" s="22">
        <v>5267</v>
      </c>
      <c r="C8" s="22"/>
      <c r="D8" s="22"/>
      <c r="E8" s="22"/>
      <c r="F8" s="22">
        <v>1154</v>
      </c>
      <c r="G8" s="22"/>
      <c r="H8" s="22"/>
      <c r="I8" s="22"/>
      <c r="J8" s="22">
        <v>6075</v>
      </c>
      <c r="K8" s="22"/>
      <c r="L8" s="22"/>
      <c r="M8" s="124"/>
      <c r="N8" s="22">
        <v>4327</v>
      </c>
      <c r="O8" s="22"/>
      <c r="P8" s="22"/>
      <c r="Q8" s="22"/>
      <c r="R8" s="22">
        <v>1300</v>
      </c>
      <c r="S8" s="22"/>
      <c r="T8" s="22"/>
      <c r="U8" s="22"/>
      <c r="V8" s="22"/>
      <c r="W8" s="22"/>
      <c r="X8" s="22"/>
      <c r="Y8" s="124"/>
      <c r="Z8" s="22"/>
      <c r="AA8" s="22"/>
      <c r="AB8" s="22"/>
      <c r="AC8" s="124"/>
    </row>
    <row r="9" spans="1:29" x14ac:dyDescent="0.2">
      <c r="A9" s="1" t="s">
        <v>18</v>
      </c>
      <c r="B9" s="22">
        <v>5088</v>
      </c>
      <c r="C9" s="83"/>
      <c r="D9" s="86"/>
      <c r="E9" s="86"/>
      <c r="F9" s="22">
        <v>1123</v>
      </c>
      <c r="G9" s="86"/>
      <c r="H9" s="86"/>
      <c r="I9" s="86"/>
      <c r="J9" s="22">
        <v>6210</v>
      </c>
      <c r="K9" s="86"/>
      <c r="L9" s="86"/>
      <c r="M9" s="124"/>
      <c r="N9" s="22">
        <v>4161</v>
      </c>
      <c r="O9" s="83"/>
      <c r="P9" s="86"/>
      <c r="Q9" s="86"/>
      <c r="R9" s="22">
        <v>1200</v>
      </c>
      <c r="S9" s="86"/>
      <c r="T9" s="86"/>
      <c r="U9" s="86"/>
      <c r="V9" s="22"/>
      <c r="W9" s="86"/>
      <c r="X9" s="86"/>
      <c r="Y9" s="124"/>
      <c r="Z9" s="22"/>
      <c r="AA9" s="86"/>
      <c r="AB9" s="86"/>
      <c r="AC9" s="124"/>
    </row>
    <row r="10" spans="1:29" x14ac:dyDescent="0.2">
      <c r="A10" s="18" t="s">
        <v>19</v>
      </c>
      <c r="B10" s="22">
        <v>5267</v>
      </c>
      <c r="C10" s="86"/>
      <c r="D10" s="83"/>
      <c r="E10" s="83"/>
      <c r="F10" s="22">
        <v>1154</v>
      </c>
      <c r="G10" s="83"/>
      <c r="H10" s="83"/>
      <c r="I10" s="83"/>
      <c r="J10" s="22">
        <v>15912</v>
      </c>
      <c r="K10" s="83"/>
      <c r="L10" s="83"/>
      <c r="M10" s="124"/>
      <c r="N10" s="22">
        <v>5645</v>
      </c>
      <c r="O10" s="86"/>
      <c r="P10" s="83"/>
      <c r="Q10" s="83"/>
      <c r="R10" s="22">
        <v>867</v>
      </c>
      <c r="S10" s="83"/>
      <c r="T10" s="83"/>
      <c r="U10" s="83"/>
      <c r="V10" s="22"/>
      <c r="W10" s="83"/>
      <c r="X10" s="83"/>
      <c r="Y10" s="124"/>
      <c r="Z10" s="22"/>
      <c r="AA10" s="83"/>
      <c r="AB10" s="83"/>
      <c r="AC10" s="124"/>
    </row>
    <row r="11" spans="1:29" x14ac:dyDescent="0.2">
      <c r="A11" s="1" t="s">
        <v>10</v>
      </c>
      <c r="B11" s="22">
        <v>5236</v>
      </c>
      <c r="C11" s="22"/>
      <c r="D11" s="22"/>
      <c r="E11" s="22"/>
      <c r="F11" s="22">
        <v>1154</v>
      </c>
      <c r="G11" s="22"/>
      <c r="H11" s="22"/>
      <c r="I11" s="22"/>
      <c r="J11" s="22">
        <v>15912</v>
      </c>
      <c r="K11" s="22"/>
      <c r="L11" s="22"/>
      <c r="M11" s="124"/>
      <c r="N11" s="22">
        <v>5812</v>
      </c>
      <c r="O11" s="22"/>
      <c r="P11" s="22"/>
      <c r="Q11" s="22"/>
      <c r="R11" s="22">
        <v>867</v>
      </c>
      <c r="S11" s="22"/>
      <c r="T11" s="22"/>
      <c r="U11" s="22"/>
      <c r="V11" s="22"/>
      <c r="W11" s="22"/>
      <c r="X11" s="22"/>
      <c r="Y11" s="124"/>
      <c r="Z11" s="22"/>
      <c r="AA11" s="22"/>
      <c r="AB11" s="22"/>
      <c r="AC11" s="124"/>
    </row>
    <row r="12" spans="1:29" x14ac:dyDescent="0.2">
      <c r="A12" s="1" t="s">
        <v>11</v>
      </c>
      <c r="B12" s="22">
        <v>5119</v>
      </c>
      <c r="C12" s="22"/>
      <c r="D12" s="22"/>
      <c r="E12" s="22"/>
      <c r="F12" s="22">
        <v>1124</v>
      </c>
      <c r="G12" s="22"/>
      <c r="H12" s="22"/>
      <c r="I12" s="22"/>
      <c r="J12" s="22">
        <v>15932</v>
      </c>
      <c r="K12" s="22"/>
      <c r="L12" s="22"/>
      <c r="M12" s="124"/>
      <c r="N12" s="22">
        <v>5962</v>
      </c>
      <c r="O12" s="22"/>
      <c r="P12" s="22"/>
      <c r="Q12" s="22"/>
      <c r="R12" s="22">
        <v>867</v>
      </c>
      <c r="S12" s="22"/>
      <c r="T12" s="22"/>
      <c r="U12" s="22"/>
      <c r="V12" s="22"/>
      <c r="W12" s="22"/>
      <c r="X12" s="22"/>
      <c r="Y12" s="124"/>
      <c r="Z12" s="22"/>
      <c r="AA12" s="22"/>
      <c r="AB12" s="22"/>
      <c r="AC12" s="124"/>
    </row>
    <row r="13" spans="1:29" x14ac:dyDescent="0.2">
      <c r="A13" s="1" t="s">
        <v>12</v>
      </c>
      <c r="B13" s="22">
        <v>5257</v>
      </c>
      <c r="C13" s="22"/>
      <c r="D13" s="22"/>
      <c r="E13" s="22"/>
      <c r="F13" s="22">
        <v>1155</v>
      </c>
      <c r="G13" s="22"/>
      <c r="H13" s="22"/>
      <c r="I13" s="22"/>
      <c r="J13" s="22">
        <v>15260</v>
      </c>
      <c r="K13" s="22"/>
      <c r="L13" s="22"/>
      <c r="M13" s="124"/>
      <c r="N13" s="22">
        <v>5862</v>
      </c>
      <c r="O13" s="22"/>
      <c r="P13" s="22"/>
      <c r="Q13" s="22"/>
      <c r="R13" s="22">
        <v>867</v>
      </c>
      <c r="S13" s="22"/>
      <c r="T13" s="22"/>
      <c r="U13" s="22"/>
      <c r="V13" s="22"/>
      <c r="W13" s="22"/>
      <c r="X13" s="22"/>
      <c r="Y13" s="124"/>
      <c r="Z13" s="22"/>
      <c r="AA13" s="22"/>
      <c r="AB13" s="22"/>
      <c r="AC13" s="124"/>
    </row>
    <row r="14" spans="1:29" x14ac:dyDescent="0.2">
      <c r="A14" s="1" t="s">
        <v>13</v>
      </c>
      <c r="B14" s="22">
        <v>5106</v>
      </c>
      <c r="C14" s="22"/>
      <c r="D14" s="22"/>
      <c r="E14" s="22"/>
      <c r="F14" s="22">
        <v>1129</v>
      </c>
      <c r="G14" s="22"/>
      <c r="H14" s="22"/>
      <c r="I14" s="22"/>
      <c r="J14" s="22">
        <v>15210</v>
      </c>
      <c r="K14" s="22"/>
      <c r="L14" s="22"/>
      <c r="M14" s="124"/>
      <c r="N14" s="22">
        <v>5862</v>
      </c>
      <c r="O14" s="22"/>
      <c r="P14" s="22"/>
      <c r="Q14" s="22"/>
      <c r="R14" s="22">
        <v>866</v>
      </c>
      <c r="S14" s="22"/>
      <c r="T14" s="22"/>
      <c r="U14" s="22"/>
      <c r="V14" s="22"/>
      <c r="W14" s="22"/>
      <c r="X14" s="22"/>
      <c r="Y14" s="124"/>
      <c r="Z14" s="22"/>
      <c r="AA14" s="22"/>
      <c r="AB14" s="22"/>
      <c r="AC14" s="124"/>
    </row>
    <row r="15" spans="1:29" x14ac:dyDescent="0.2">
      <c r="A15" s="1" t="s">
        <v>14</v>
      </c>
      <c r="B15" s="22">
        <v>5319</v>
      </c>
      <c r="C15" s="22"/>
      <c r="D15" s="22"/>
      <c r="E15" s="86"/>
      <c r="F15" s="22">
        <v>1160</v>
      </c>
      <c r="G15" s="22"/>
      <c r="H15" s="22"/>
      <c r="I15" s="22"/>
      <c r="J15" s="22">
        <v>15074</v>
      </c>
      <c r="K15" s="22"/>
      <c r="L15" s="22"/>
      <c r="M15" s="124"/>
      <c r="N15" s="22">
        <v>5862</v>
      </c>
      <c r="O15" s="22"/>
      <c r="P15" s="22"/>
      <c r="Q15" s="86"/>
      <c r="R15" s="22">
        <v>866</v>
      </c>
      <c r="S15" s="22"/>
      <c r="T15" s="22"/>
      <c r="U15" s="22"/>
      <c r="V15" s="22"/>
      <c r="W15" s="22"/>
      <c r="X15" s="22"/>
      <c r="Y15" s="124"/>
      <c r="Z15" s="22"/>
      <c r="AA15" s="22"/>
      <c r="AB15" s="22"/>
      <c r="AC15" s="124"/>
    </row>
    <row r="16" spans="1:29" x14ac:dyDescent="0.2">
      <c r="A16" s="1" t="s">
        <v>6</v>
      </c>
      <c r="B16" s="22">
        <f>SUM(B4:B15)</f>
        <v>62050</v>
      </c>
      <c r="C16" s="22">
        <f t="shared" ref="C16:M16" si="0">SUM(C4:C15)</f>
        <v>0</v>
      </c>
      <c r="D16" s="22">
        <f t="shared" si="0"/>
        <v>0</v>
      </c>
      <c r="E16" s="22">
        <f t="shared" si="0"/>
        <v>0</v>
      </c>
      <c r="F16" s="22">
        <f t="shared" si="0"/>
        <v>13652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128230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ref="N16:Y16" si="1">SUM(N4:N15)</f>
        <v>60452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13000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0</v>
      </c>
      <c r="W16" s="22">
        <f t="shared" si="1"/>
        <v>0</v>
      </c>
      <c r="X16" s="22">
        <f t="shared" si="1"/>
        <v>0</v>
      </c>
      <c r="Y16" s="22">
        <f t="shared" si="1"/>
        <v>0</v>
      </c>
      <c r="Z16" s="22">
        <f>SUM(Z4:Z15)</f>
        <v>0</v>
      </c>
      <c r="AA16" s="22">
        <f>SUM(AA4:AA15)</f>
        <v>0</v>
      </c>
      <c r="AB16" s="22">
        <f>SUM(AB4:AB15)</f>
        <v>0</v>
      </c>
      <c r="AC16" s="22">
        <f>SUM(AC4:AC15)</f>
        <v>0</v>
      </c>
    </row>
    <row r="17" spans="1:29" x14ac:dyDescent="0.2">
      <c r="A17" s="28" t="s">
        <v>28</v>
      </c>
      <c r="B17" s="30">
        <f>B4+B5</f>
        <v>10036</v>
      </c>
      <c r="C17" s="30">
        <f t="shared" ref="C17:L17" si="2">C4+C5</f>
        <v>0</v>
      </c>
      <c r="D17" s="30">
        <f t="shared" si="2"/>
        <v>0</v>
      </c>
      <c r="E17" s="30">
        <f>E4+E5</f>
        <v>0</v>
      </c>
      <c r="F17" s="30">
        <f t="shared" si="2"/>
        <v>2224</v>
      </c>
      <c r="G17" s="30">
        <f t="shared" si="2"/>
        <v>0</v>
      </c>
      <c r="H17" s="30">
        <f t="shared" si="2"/>
        <v>0</v>
      </c>
      <c r="I17" s="30">
        <f>I4+I5</f>
        <v>0</v>
      </c>
      <c r="J17" s="30">
        <f t="shared" si="2"/>
        <v>9595</v>
      </c>
      <c r="K17" s="30">
        <f t="shared" si="2"/>
        <v>0</v>
      </c>
      <c r="L17" s="30">
        <f t="shared" si="2"/>
        <v>0</v>
      </c>
      <c r="M17" s="30">
        <f t="shared" ref="M17:Y17" si="3">M4+M5</f>
        <v>0</v>
      </c>
      <c r="N17" s="30">
        <f t="shared" si="3"/>
        <v>7705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2600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0</v>
      </c>
      <c r="W17" s="30">
        <f t="shared" si="3"/>
        <v>0</v>
      </c>
      <c r="X17" s="30">
        <f t="shared" si="3"/>
        <v>0</v>
      </c>
      <c r="Y17" s="30">
        <f t="shared" si="3"/>
        <v>0</v>
      </c>
      <c r="Z17" s="30">
        <f>Z4+Z5</f>
        <v>0</v>
      </c>
      <c r="AA17" s="30">
        <f>AA4+AA5</f>
        <v>0</v>
      </c>
      <c r="AB17" s="30">
        <f>AB4+AB5</f>
        <v>0</v>
      </c>
      <c r="AC17" s="30">
        <f>AC4+AC5</f>
        <v>0</v>
      </c>
    </row>
    <row r="18" spans="1:29" x14ac:dyDescent="0.2">
      <c r="A18" s="28" t="s">
        <v>107</v>
      </c>
      <c r="B18" s="30">
        <f t="shared" ref="B18:B27" si="4">B17+B6</f>
        <v>15303</v>
      </c>
      <c r="C18" s="30">
        <f t="shared" ref="C18:M18" si="5">C17+C6</f>
        <v>0</v>
      </c>
      <c r="D18" s="30">
        <f t="shared" si="5"/>
        <v>0</v>
      </c>
      <c r="E18" s="30">
        <f t="shared" si="5"/>
        <v>0</v>
      </c>
      <c r="F18" s="30">
        <f t="shared" si="5"/>
        <v>3377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15778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ref="N18:N27" si="6">N17+N6</f>
        <v>12325</v>
      </c>
      <c r="O18" s="30">
        <f t="shared" ref="O18:O27" si="7">O17+O6</f>
        <v>0</v>
      </c>
      <c r="P18" s="30">
        <f t="shared" ref="P18:P27" si="8">P17+P6</f>
        <v>0</v>
      </c>
      <c r="Q18" s="30">
        <f t="shared" ref="Q18:Q27" si="9">Q17+Q6</f>
        <v>0</v>
      </c>
      <c r="R18" s="30">
        <f t="shared" ref="R18:R27" si="10">R17+R6</f>
        <v>4000</v>
      </c>
      <c r="S18" s="30">
        <f t="shared" ref="S18:S27" si="11">S17+S6</f>
        <v>0</v>
      </c>
      <c r="T18" s="30">
        <f t="shared" ref="T18:T27" si="12">T17+T6</f>
        <v>0</v>
      </c>
      <c r="U18" s="30">
        <f t="shared" ref="U18:U27" si="13">U17+U6</f>
        <v>0</v>
      </c>
      <c r="V18" s="30">
        <f t="shared" ref="V18:V27" si="14">V17+V6</f>
        <v>0</v>
      </c>
      <c r="W18" s="30">
        <f t="shared" ref="W18:W27" si="15">W17+W6</f>
        <v>0</v>
      </c>
      <c r="X18" s="30">
        <f t="shared" ref="X18:X27" si="16">X17+X6</f>
        <v>0</v>
      </c>
      <c r="Y18" s="30">
        <f t="shared" ref="Y18:Y27" si="17">Y17+Y6</f>
        <v>0</v>
      </c>
      <c r="Z18" s="30">
        <f t="shared" ref="Z18:Z27" si="18">Z17+Z6</f>
        <v>0</v>
      </c>
      <c r="AA18" s="30">
        <f t="shared" ref="AA18:AA27" si="19">AA17+AA6</f>
        <v>0</v>
      </c>
      <c r="AB18" s="30">
        <f t="shared" ref="AB18:AB27" si="20">AB17+AB6</f>
        <v>0</v>
      </c>
      <c r="AC18" s="30">
        <f t="shared" ref="AC18:AC27" si="21">AC17+AC6</f>
        <v>0</v>
      </c>
    </row>
    <row r="19" spans="1:29" x14ac:dyDescent="0.2">
      <c r="A19" s="28" t="s">
        <v>29</v>
      </c>
      <c r="B19" s="30">
        <f t="shared" si="4"/>
        <v>20391</v>
      </c>
      <c r="C19" s="30">
        <f t="shared" ref="C19:M19" si="22">C18+C7</f>
        <v>0</v>
      </c>
      <c r="D19" s="30">
        <f t="shared" si="22"/>
        <v>0</v>
      </c>
      <c r="E19" s="30">
        <f t="shared" si="22"/>
        <v>0</v>
      </c>
      <c r="F19" s="30">
        <f t="shared" si="22"/>
        <v>4499</v>
      </c>
      <c r="G19" s="30">
        <f t="shared" si="22"/>
        <v>0</v>
      </c>
      <c r="H19" s="30">
        <f t="shared" si="22"/>
        <v>0</v>
      </c>
      <c r="I19" s="30">
        <f t="shared" si="22"/>
        <v>0</v>
      </c>
      <c r="J19" s="30">
        <f t="shared" si="22"/>
        <v>22645</v>
      </c>
      <c r="K19" s="30">
        <f t="shared" si="22"/>
        <v>0</v>
      </c>
      <c r="L19" s="30">
        <f t="shared" si="22"/>
        <v>0</v>
      </c>
      <c r="M19" s="30">
        <f t="shared" si="22"/>
        <v>0</v>
      </c>
      <c r="N19" s="30">
        <f t="shared" si="6"/>
        <v>16959</v>
      </c>
      <c r="O19" s="30">
        <f t="shared" si="7"/>
        <v>0</v>
      </c>
      <c r="P19" s="30">
        <f t="shared" si="8"/>
        <v>0</v>
      </c>
      <c r="Q19" s="30">
        <f t="shared" si="9"/>
        <v>0</v>
      </c>
      <c r="R19" s="30">
        <f t="shared" si="10"/>
        <v>5300</v>
      </c>
      <c r="S19" s="30">
        <f t="shared" si="11"/>
        <v>0</v>
      </c>
      <c r="T19" s="30">
        <f t="shared" si="12"/>
        <v>0</v>
      </c>
      <c r="U19" s="30">
        <f t="shared" si="13"/>
        <v>0</v>
      </c>
      <c r="V19" s="30">
        <f t="shared" si="14"/>
        <v>0</v>
      </c>
      <c r="W19" s="30">
        <f t="shared" si="15"/>
        <v>0</v>
      </c>
      <c r="X19" s="30">
        <f t="shared" si="16"/>
        <v>0</v>
      </c>
      <c r="Y19" s="30">
        <f t="shared" si="17"/>
        <v>0</v>
      </c>
      <c r="Z19" s="30">
        <f t="shared" si="18"/>
        <v>0</v>
      </c>
      <c r="AA19" s="30">
        <f t="shared" si="19"/>
        <v>0</v>
      </c>
      <c r="AB19" s="30">
        <f t="shared" si="20"/>
        <v>0</v>
      </c>
      <c r="AC19" s="30">
        <f t="shared" si="21"/>
        <v>0</v>
      </c>
    </row>
    <row r="20" spans="1:29" x14ac:dyDescent="0.2">
      <c r="A20" s="28" t="s">
        <v>30</v>
      </c>
      <c r="B20" s="30">
        <f t="shared" si="4"/>
        <v>25658</v>
      </c>
      <c r="C20" s="30">
        <f t="shared" ref="C20:M20" si="23">C19+C8</f>
        <v>0</v>
      </c>
      <c r="D20" s="30">
        <f t="shared" si="23"/>
        <v>0</v>
      </c>
      <c r="E20" s="30">
        <f t="shared" si="23"/>
        <v>0</v>
      </c>
      <c r="F20" s="30">
        <f t="shared" si="23"/>
        <v>5653</v>
      </c>
      <c r="G20" s="30">
        <f t="shared" si="23"/>
        <v>0</v>
      </c>
      <c r="H20" s="30">
        <f t="shared" si="23"/>
        <v>0</v>
      </c>
      <c r="I20" s="30">
        <f t="shared" si="23"/>
        <v>0</v>
      </c>
      <c r="J20" s="30">
        <f t="shared" si="23"/>
        <v>28720</v>
      </c>
      <c r="K20" s="30">
        <f t="shared" si="23"/>
        <v>0</v>
      </c>
      <c r="L20" s="30">
        <f t="shared" si="23"/>
        <v>0</v>
      </c>
      <c r="M20" s="30">
        <f t="shared" si="23"/>
        <v>0</v>
      </c>
      <c r="N20" s="30">
        <f t="shared" si="6"/>
        <v>21286</v>
      </c>
      <c r="O20" s="30">
        <f t="shared" si="7"/>
        <v>0</v>
      </c>
      <c r="P20" s="30">
        <f t="shared" si="8"/>
        <v>0</v>
      </c>
      <c r="Q20" s="30">
        <f t="shared" si="9"/>
        <v>0</v>
      </c>
      <c r="R20" s="30">
        <f t="shared" si="10"/>
        <v>6600</v>
      </c>
      <c r="S20" s="30">
        <f t="shared" si="11"/>
        <v>0</v>
      </c>
      <c r="T20" s="30">
        <f t="shared" si="12"/>
        <v>0</v>
      </c>
      <c r="U20" s="30">
        <f t="shared" si="13"/>
        <v>0</v>
      </c>
      <c r="V20" s="30">
        <f t="shared" si="14"/>
        <v>0</v>
      </c>
      <c r="W20" s="30">
        <f t="shared" si="15"/>
        <v>0</v>
      </c>
      <c r="X20" s="30">
        <f t="shared" si="16"/>
        <v>0</v>
      </c>
      <c r="Y20" s="30">
        <f t="shared" si="17"/>
        <v>0</v>
      </c>
      <c r="Z20" s="30">
        <f t="shared" si="18"/>
        <v>0</v>
      </c>
      <c r="AA20" s="30">
        <f t="shared" si="19"/>
        <v>0</v>
      </c>
      <c r="AB20" s="30">
        <f t="shared" si="20"/>
        <v>0</v>
      </c>
      <c r="AC20" s="30">
        <f t="shared" si="21"/>
        <v>0</v>
      </c>
    </row>
    <row r="21" spans="1:29" x14ac:dyDescent="0.2">
      <c r="A21" s="28" t="s">
        <v>31</v>
      </c>
      <c r="B21" s="30">
        <f t="shared" si="4"/>
        <v>30746</v>
      </c>
      <c r="C21" s="30">
        <f t="shared" ref="C21:M21" si="24">C20+C9</f>
        <v>0</v>
      </c>
      <c r="D21" s="30">
        <f t="shared" si="24"/>
        <v>0</v>
      </c>
      <c r="E21" s="30">
        <f t="shared" si="24"/>
        <v>0</v>
      </c>
      <c r="F21" s="30">
        <f t="shared" si="24"/>
        <v>6776</v>
      </c>
      <c r="G21" s="30">
        <f t="shared" si="24"/>
        <v>0</v>
      </c>
      <c r="H21" s="30">
        <f t="shared" si="24"/>
        <v>0</v>
      </c>
      <c r="I21" s="30">
        <f t="shared" si="24"/>
        <v>0</v>
      </c>
      <c r="J21" s="30">
        <f t="shared" si="24"/>
        <v>34930</v>
      </c>
      <c r="K21" s="30">
        <f t="shared" si="24"/>
        <v>0</v>
      </c>
      <c r="L21" s="30">
        <f t="shared" si="24"/>
        <v>0</v>
      </c>
      <c r="M21" s="30">
        <f t="shared" si="24"/>
        <v>0</v>
      </c>
      <c r="N21" s="30">
        <f t="shared" si="6"/>
        <v>25447</v>
      </c>
      <c r="O21" s="30">
        <f t="shared" si="7"/>
        <v>0</v>
      </c>
      <c r="P21" s="30">
        <f t="shared" si="8"/>
        <v>0</v>
      </c>
      <c r="Q21" s="30">
        <f t="shared" si="9"/>
        <v>0</v>
      </c>
      <c r="R21" s="30">
        <f t="shared" si="10"/>
        <v>7800</v>
      </c>
      <c r="S21" s="30">
        <f t="shared" si="11"/>
        <v>0</v>
      </c>
      <c r="T21" s="30">
        <f t="shared" si="12"/>
        <v>0</v>
      </c>
      <c r="U21" s="30">
        <f t="shared" si="13"/>
        <v>0</v>
      </c>
      <c r="V21" s="30">
        <f t="shared" si="14"/>
        <v>0</v>
      </c>
      <c r="W21" s="30">
        <f t="shared" si="15"/>
        <v>0</v>
      </c>
      <c r="X21" s="30">
        <f t="shared" si="16"/>
        <v>0</v>
      </c>
      <c r="Y21" s="30">
        <f t="shared" si="17"/>
        <v>0</v>
      </c>
      <c r="Z21" s="30">
        <f t="shared" si="18"/>
        <v>0</v>
      </c>
      <c r="AA21" s="30">
        <f t="shared" si="19"/>
        <v>0</v>
      </c>
      <c r="AB21" s="30">
        <f t="shared" si="20"/>
        <v>0</v>
      </c>
      <c r="AC21" s="30">
        <f t="shared" si="21"/>
        <v>0</v>
      </c>
    </row>
    <row r="22" spans="1:29" x14ac:dyDescent="0.2">
      <c r="A22" s="28" t="s">
        <v>32</v>
      </c>
      <c r="B22" s="30">
        <f t="shared" si="4"/>
        <v>36013</v>
      </c>
      <c r="C22" s="30">
        <f t="shared" ref="C22:M22" si="25">C21+C10</f>
        <v>0</v>
      </c>
      <c r="D22" s="30">
        <f t="shared" si="25"/>
        <v>0</v>
      </c>
      <c r="E22" s="30">
        <f t="shared" si="25"/>
        <v>0</v>
      </c>
      <c r="F22" s="30">
        <f t="shared" si="25"/>
        <v>7930</v>
      </c>
      <c r="G22" s="30">
        <f t="shared" si="25"/>
        <v>0</v>
      </c>
      <c r="H22" s="30">
        <f t="shared" si="25"/>
        <v>0</v>
      </c>
      <c r="I22" s="30">
        <f t="shared" si="25"/>
        <v>0</v>
      </c>
      <c r="J22" s="30">
        <f t="shared" si="25"/>
        <v>50842</v>
      </c>
      <c r="K22" s="30">
        <f t="shared" si="25"/>
        <v>0</v>
      </c>
      <c r="L22" s="30">
        <f t="shared" si="25"/>
        <v>0</v>
      </c>
      <c r="M22" s="30">
        <f t="shared" si="25"/>
        <v>0</v>
      </c>
      <c r="N22" s="30">
        <f t="shared" si="6"/>
        <v>31092</v>
      </c>
      <c r="O22" s="30">
        <f t="shared" si="7"/>
        <v>0</v>
      </c>
      <c r="P22" s="30">
        <f t="shared" si="8"/>
        <v>0</v>
      </c>
      <c r="Q22" s="30">
        <f t="shared" si="9"/>
        <v>0</v>
      </c>
      <c r="R22" s="30">
        <f t="shared" si="10"/>
        <v>8667</v>
      </c>
      <c r="S22" s="30">
        <f t="shared" si="11"/>
        <v>0</v>
      </c>
      <c r="T22" s="30">
        <f t="shared" si="12"/>
        <v>0</v>
      </c>
      <c r="U22" s="30">
        <f t="shared" si="13"/>
        <v>0</v>
      </c>
      <c r="V22" s="30">
        <f t="shared" si="14"/>
        <v>0</v>
      </c>
      <c r="W22" s="30">
        <f t="shared" si="15"/>
        <v>0</v>
      </c>
      <c r="X22" s="30">
        <f t="shared" si="16"/>
        <v>0</v>
      </c>
      <c r="Y22" s="30">
        <f t="shared" si="17"/>
        <v>0</v>
      </c>
      <c r="Z22" s="30">
        <f t="shared" si="18"/>
        <v>0</v>
      </c>
      <c r="AA22" s="30">
        <f t="shared" si="19"/>
        <v>0</v>
      </c>
      <c r="AB22" s="30">
        <f t="shared" si="20"/>
        <v>0</v>
      </c>
      <c r="AC22" s="30">
        <f t="shared" si="21"/>
        <v>0</v>
      </c>
    </row>
    <row r="23" spans="1:29" x14ac:dyDescent="0.2">
      <c r="A23" s="28" t="s">
        <v>33</v>
      </c>
      <c r="B23" s="30">
        <f t="shared" si="4"/>
        <v>41249</v>
      </c>
      <c r="C23" s="30">
        <f t="shared" ref="C23:M23" si="26">C22+C11</f>
        <v>0</v>
      </c>
      <c r="D23" s="30">
        <f t="shared" si="26"/>
        <v>0</v>
      </c>
      <c r="E23" s="30">
        <f t="shared" si="26"/>
        <v>0</v>
      </c>
      <c r="F23" s="30">
        <f t="shared" si="26"/>
        <v>9084</v>
      </c>
      <c r="G23" s="30">
        <f t="shared" si="26"/>
        <v>0</v>
      </c>
      <c r="H23" s="30">
        <f t="shared" si="26"/>
        <v>0</v>
      </c>
      <c r="I23" s="30">
        <f t="shared" si="26"/>
        <v>0</v>
      </c>
      <c r="J23" s="30">
        <f t="shared" si="26"/>
        <v>66754</v>
      </c>
      <c r="K23" s="30">
        <f t="shared" si="26"/>
        <v>0</v>
      </c>
      <c r="L23" s="30">
        <f t="shared" si="26"/>
        <v>0</v>
      </c>
      <c r="M23" s="30">
        <f t="shared" si="26"/>
        <v>0</v>
      </c>
      <c r="N23" s="30">
        <f t="shared" si="6"/>
        <v>36904</v>
      </c>
      <c r="O23" s="30">
        <f t="shared" si="7"/>
        <v>0</v>
      </c>
      <c r="P23" s="30">
        <f t="shared" si="8"/>
        <v>0</v>
      </c>
      <c r="Q23" s="30">
        <f t="shared" si="9"/>
        <v>0</v>
      </c>
      <c r="R23" s="30">
        <f t="shared" si="10"/>
        <v>9534</v>
      </c>
      <c r="S23" s="30">
        <f t="shared" si="11"/>
        <v>0</v>
      </c>
      <c r="T23" s="30">
        <f t="shared" si="12"/>
        <v>0</v>
      </c>
      <c r="U23" s="30">
        <f t="shared" si="13"/>
        <v>0</v>
      </c>
      <c r="V23" s="30">
        <f t="shared" si="14"/>
        <v>0</v>
      </c>
      <c r="W23" s="30">
        <f t="shared" si="15"/>
        <v>0</v>
      </c>
      <c r="X23" s="30">
        <f t="shared" si="16"/>
        <v>0</v>
      </c>
      <c r="Y23" s="30">
        <f t="shared" si="17"/>
        <v>0</v>
      </c>
      <c r="Z23" s="30">
        <f t="shared" si="18"/>
        <v>0</v>
      </c>
      <c r="AA23" s="30">
        <f t="shared" si="19"/>
        <v>0</v>
      </c>
      <c r="AB23" s="30">
        <f t="shared" si="20"/>
        <v>0</v>
      </c>
      <c r="AC23" s="30">
        <f t="shared" si="21"/>
        <v>0</v>
      </c>
    </row>
    <row r="24" spans="1:29" x14ac:dyDescent="0.2">
      <c r="A24" s="28" t="s">
        <v>34</v>
      </c>
      <c r="B24" s="30">
        <f t="shared" si="4"/>
        <v>46368</v>
      </c>
      <c r="C24" s="30">
        <f t="shared" ref="C24:M24" si="27">C23+C12</f>
        <v>0</v>
      </c>
      <c r="D24" s="30">
        <f t="shared" si="27"/>
        <v>0</v>
      </c>
      <c r="E24" s="30">
        <f t="shared" si="27"/>
        <v>0</v>
      </c>
      <c r="F24" s="30">
        <f t="shared" si="27"/>
        <v>10208</v>
      </c>
      <c r="G24" s="30">
        <f t="shared" si="27"/>
        <v>0</v>
      </c>
      <c r="H24" s="30">
        <f t="shared" si="27"/>
        <v>0</v>
      </c>
      <c r="I24" s="30">
        <f t="shared" si="27"/>
        <v>0</v>
      </c>
      <c r="J24" s="30">
        <f t="shared" si="27"/>
        <v>82686</v>
      </c>
      <c r="K24" s="30">
        <f t="shared" si="27"/>
        <v>0</v>
      </c>
      <c r="L24" s="30">
        <f t="shared" si="27"/>
        <v>0</v>
      </c>
      <c r="M24" s="30">
        <f t="shared" si="27"/>
        <v>0</v>
      </c>
      <c r="N24" s="30">
        <f t="shared" si="6"/>
        <v>42866</v>
      </c>
      <c r="O24" s="30">
        <f t="shared" si="7"/>
        <v>0</v>
      </c>
      <c r="P24" s="30">
        <f t="shared" si="8"/>
        <v>0</v>
      </c>
      <c r="Q24" s="30">
        <f t="shared" si="9"/>
        <v>0</v>
      </c>
      <c r="R24" s="30">
        <f t="shared" si="10"/>
        <v>10401</v>
      </c>
      <c r="S24" s="30">
        <f t="shared" si="11"/>
        <v>0</v>
      </c>
      <c r="T24" s="30">
        <f t="shared" si="12"/>
        <v>0</v>
      </c>
      <c r="U24" s="30">
        <f t="shared" si="13"/>
        <v>0</v>
      </c>
      <c r="V24" s="30">
        <f t="shared" si="14"/>
        <v>0</v>
      </c>
      <c r="W24" s="30">
        <f t="shared" si="15"/>
        <v>0</v>
      </c>
      <c r="X24" s="30">
        <f t="shared" si="16"/>
        <v>0</v>
      </c>
      <c r="Y24" s="30">
        <f t="shared" si="17"/>
        <v>0</v>
      </c>
      <c r="Z24" s="30">
        <f t="shared" si="18"/>
        <v>0</v>
      </c>
      <c r="AA24" s="30">
        <f t="shared" si="19"/>
        <v>0</v>
      </c>
      <c r="AB24" s="30">
        <f t="shared" si="20"/>
        <v>0</v>
      </c>
      <c r="AC24" s="30">
        <f t="shared" si="21"/>
        <v>0</v>
      </c>
    </row>
    <row r="25" spans="1:29" x14ac:dyDescent="0.2">
      <c r="A25" s="29" t="s">
        <v>35</v>
      </c>
      <c r="B25" s="31">
        <f t="shared" si="4"/>
        <v>51625</v>
      </c>
      <c r="C25" s="31">
        <f t="shared" ref="C25:M25" si="28">C24+C13</f>
        <v>0</v>
      </c>
      <c r="D25" s="31">
        <f t="shared" si="28"/>
        <v>0</v>
      </c>
      <c r="E25" s="31">
        <f t="shared" si="28"/>
        <v>0</v>
      </c>
      <c r="F25" s="31">
        <f t="shared" si="28"/>
        <v>11363</v>
      </c>
      <c r="G25" s="31">
        <f t="shared" si="28"/>
        <v>0</v>
      </c>
      <c r="H25" s="31">
        <f t="shared" si="28"/>
        <v>0</v>
      </c>
      <c r="I25" s="31">
        <f t="shared" si="28"/>
        <v>0</v>
      </c>
      <c r="J25" s="31">
        <f t="shared" si="28"/>
        <v>97946</v>
      </c>
      <c r="K25" s="31">
        <f t="shared" si="28"/>
        <v>0</v>
      </c>
      <c r="L25" s="31">
        <f t="shared" si="28"/>
        <v>0</v>
      </c>
      <c r="M25" s="31">
        <f t="shared" si="28"/>
        <v>0</v>
      </c>
      <c r="N25" s="31">
        <f t="shared" si="6"/>
        <v>48728</v>
      </c>
      <c r="O25" s="31">
        <f t="shared" si="7"/>
        <v>0</v>
      </c>
      <c r="P25" s="31">
        <f t="shared" si="8"/>
        <v>0</v>
      </c>
      <c r="Q25" s="31">
        <f t="shared" si="9"/>
        <v>0</v>
      </c>
      <c r="R25" s="31">
        <f t="shared" si="10"/>
        <v>11268</v>
      </c>
      <c r="S25" s="31">
        <f t="shared" si="11"/>
        <v>0</v>
      </c>
      <c r="T25" s="31">
        <f t="shared" si="12"/>
        <v>0</v>
      </c>
      <c r="U25" s="31">
        <f t="shared" si="13"/>
        <v>0</v>
      </c>
      <c r="V25" s="31">
        <f t="shared" si="14"/>
        <v>0</v>
      </c>
      <c r="W25" s="31">
        <f t="shared" si="15"/>
        <v>0</v>
      </c>
      <c r="X25" s="31">
        <f t="shared" si="16"/>
        <v>0</v>
      </c>
      <c r="Y25" s="31">
        <f t="shared" si="17"/>
        <v>0</v>
      </c>
      <c r="Z25" s="31">
        <f t="shared" si="18"/>
        <v>0</v>
      </c>
      <c r="AA25" s="31">
        <f t="shared" si="19"/>
        <v>0</v>
      </c>
      <c r="AB25" s="31">
        <f t="shared" si="20"/>
        <v>0</v>
      </c>
      <c r="AC25" s="31">
        <f t="shared" si="21"/>
        <v>0</v>
      </c>
    </row>
    <row r="26" spans="1:29" x14ac:dyDescent="0.2">
      <c r="A26" s="29" t="s">
        <v>36</v>
      </c>
      <c r="B26" s="31">
        <f t="shared" si="4"/>
        <v>56731</v>
      </c>
      <c r="C26" s="31">
        <f t="shared" ref="C26:M26" si="29">C25+C14</f>
        <v>0</v>
      </c>
      <c r="D26" s="31">
        <f t="shared" si="29"/>
        <v>0</v>
      </c>
      <c r="E26" s="31">
        <f t="shared" si="29"/>
        <v>0</v>
      </c>
      <c r="F26" s="31">
        <f t="shared" si="29"/>
        <v>12492</v>
      </c>
      <c r="G26" s="31">
        <f t="shared" si="29"/>
        <v>0</v>
      </c>
      <c r="H26" s="31">
        <f t="shared" si="29"/>
        <v>0</v>
      </c>
      <c r="I26" s="31">
        <f t="shared" si="29"/>
        <v>0</v>
      </c>
      <c r="J26" s="31">
        <f t="shared" si="29"/>
        <v>113156</v>
      </c>
      <c r="K26" s="31">
        <f t="shared" si="29"/>
        <v>0</v>
      </c>
      <c r="L26" s="31">
        <f t="shared" si="29"/>
        <v>0</v>
      </c>
      <c r="M26" s="31">
        <f t="shared" si="29"/>
        <v>0</v>
      </c>
      <c r="N26" s="31">
        <f t="shared" si="6"/>
        <v>54590</v>
      </c>
      <c r="O26" s="31">
        <f t="shared" si="7"/>
        <v>0</v>
      </c>
      <c r="P26" s="31">
        <f t="shared" si="8"/>
        <v>0</v>
      </c>
      <c r="Q26" s="31">
        <f t="shared" si="9"/>
        <v>0</v>
      </c>
      <c r="R26" s="31">
        <f t="shared" si="10"/>
        <v>12134</v>
      </c>
      <c r="S26" s="31">
        <f t="shared" si="11"/>
        <v>0</v>
      </c>
      <c r="T26" s="31">
        <f t="shared" si="12"/>
        <v>0</v>
      </c>
      <c r="U26" s="31">
        <f t="shared" si="13"/>
        <v>0</v>
      </c>
      <c r="V26" s="31">
        <f t="shared" si="14"/>
        <v>0</v>
      </c>
      <c r="W26" s="31">
        <f t="shared" si="15"/>
        <v>0</v>
      </c>
      <c r="X26" s="31">
        <f t="shared" si="16"/>
        <v>0</v>
      </c>
      <c r="Y26" s="31">
        <f t="shared" si="17"/>
        <v>0</v>
      </c>
      <c r="Z26" s="31">
        <f t="shared" si="18"/>
        <v>0</v>
      </c>
      <c r="AA26" s="31">
        <f t="shared" si="19"/>
        <v>0</v>
      </c>
      <c r="AB26" s="31">
        <f t="shared" si="20"/>
        <v>0</v>
      </c>
      <c r="AC26" s="31">
        <f t="shared" si="21"/>
        <v>0</v>
      </c>
    </row>
    <row r="27" spans="1:29" x14ac:dyDescent="0.2">
      <c r="A27" s="12" t="s">
        <v>15</v>
      </c>
      <c r="B27" s="32">
        <f t="shared" si="4"/>
        <v>62050</v>
      </c>
      <c r="C27" s="32">
        <f t="shared" ref="C27:M27" si="30">C26+C15</f>
        <v>0</v>
      </c>
      <c r="D27" s="32">
        <f t="shared" si="30"/>
        <v>0</v>
      </c>
      <c r="E27" s="32">
        <f t="shared" si="30"/>
        <v>0</v>
      </c>
      <c r="F27" s="32">
        <f t="shared" si="30"/>
        <v>13652</v>
      </c>
      <c r="G27" s="32">
        <f t="shared" si="30"/>
        <v>0</v>
      </c>
      <c r="H27" s="32">
        <f t="shared" si="30"/>
        <v>0</v>
      </c>
      <c r="I27" s="32">
        <f t="shared" si="30"/>
        <v>0</v>
      </c>
      <c r="J27" s="32">
        <f t="shared" si="30"/>
        <v>128230</v>
      </c>
      <c r="K27" s="32">
        <f t="shared" si="30"/>
        <v>0</v>
      </c>
      <c r="L27" s="32">
        <f t="shared" si="30"/>
        <v>0</v>
      </c>
      <c r="M27" s="32">
        <f t="shared" si="30"/>
        <v>0</v>
      </c>
      <c r="N27" s="32">
        <f t="shared" si="6"/>
        <v>60452</v>
      </c>
      <c r="O27" s="32">
        <f t="shared" si="7"/>
        <v>0</v>
      </c>
      <c r="P27" s="32">
        <f t="shared" si="8"/>
        <v>0</v>
      </c>
      <c r="Q27" s="32">
        <f t="shared" si="9"/>
        <v>0</v>
      </c>
      <c r="R27" s="32">
        <f t="shared" si="10"/>
        <v>13000</v>
      </c>
      <c r="S27" s="32">
        <f t="shared" si="11"/>
        <v>0</v>
      </c>
      <c r="T27" s="32">
        <f t="shared" si="12"/>
        <v>0</v>
      </c>
      <c r="U27" s="32">
        <f t="shared" si="13"/>
        <v>0</v>
      </c>
      <c r="V27" s="32">
        <f t="shared" si="14"/>
        <v>0</v>
      </c>
      <c r="W27" s="32">
        <f t="shared" si="15"/>
        <v>0</v>
      </c>
      <c r="X27" s="32">
        <f t="shared" si="16"/>
        <v>0</v>
      </c>
      <c r="Y27" s="32">
        <f t="shared" si="17"/>
        <v>0</v>
      </c>
      <c r="Z27" s="32">
        <f t="shared" si="18"/>
        <v>0</v>
      </c>
      <c r="AA27" s="32">
        <f t="shared" si="19"/>
        <v>0</v>
      </c>
      <c r="AB27" s="32">
        <f t="shared" si="20"/>
        <v>0</v>
      </c>
      <c r="AC27" s="32">
        <f t="shared" si="21"/>
        <v>0</v>
      </c>
    </row>
  </sheetData>
  <mergeCells count="12">
    <mergeCell ref="K2:M2"/>
    <mergeCell ref="B1:D1"/>
    <mergeCell ref="F1:H1"/>
    <mergeCell ref="C2:E2"/>
    <mergeCell ref="G2:I2"/>
    <mergeCell ref="O2:Q2"/>
    <mergeCell ref="S2:U2"/>
    <mergeCell ref="AA2:AC2"/>
    <mergeCell ref="AA1:AC1"/>
    <mergeCell ref="W2:Y2"/>
    <mergeCell ref="N1:P1"/>
    <mergeCell ref="R1:T1"/>
  </mergeCells>
  <phoneticPr fontId="0" type="noConversion"/>
  <pageMargins left="0" right="0" top="0" bottom="0" header="0.51181102362204722" footer="0.51181102362204722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80</vt:i4>
      </vt:variant>
    </vt:vector>
  </HeadingPairs>
  <TitlesOfParts>
    <vt:vector size="80" baseType="lpstr">
      <vt:lpstr>ОНКО</vt:lpstr>
      <vt:lpstr>ант</vt:lpstr>
      <vt:lpstr>буй</vt:lpstr>
      <vt:lpstr>кол</vt:lpstr>
      <vt:lpstr>сус</vt:lpstr>
      <vt:lpstr>пар</vt:lpstr>
      <vt:lpstr>нея</vt:lpstr>
      <vt:lpstr>пав</vt:lpstr>
      <vt:lpstr>костр</vt:lpstr>
      <vt:lpstr>госп</vt:lpstr>
      <vt:lpstr>пыщ</vt:lpstr>
      <vt:lpstr>цвд</vt:lpstr>
      <vt:lpstr>муз1</vt:lpstr>
      <vt:lpstr>смп</vt:lpstr>
      <vt:lpstr>стом1</vt:lpstr>
      <vt:lpstr>обл.ст</vt:lpstr>
      <vt:lpstr>гавр</vt:lpstr>
      <vt:lpstr>цах</vt:lpstr>
      <vt:lpstr>центр</vt:lpstr>
      <vt:lpstr>спас</vt:lpstr>
      <vt:lpstr>ФГУ</vt:lpstr>
      <vt:lpstr>кожн</vt:lpstr>
      <vt:lpstr>боб</vt:lpstr>
      <vt:lpstr>солиг</vt:lpstr>
      <vt:lpstr>мак</vt:lpstr>
      <vt:lpstr>мант</vt:lpstr>
      <vt:lpstr>поназ</vt:lpstr>
      <vt:lpstr>шар</vt:lpstr>
      <vt:lpstr>узшар</vt:lpstr>
      <vt:lpstr>Рожд</vt:lpstr>
      <vt:lpstr>областн</vt:lpstr>
      <vt:lpstr>кард</vt:lpstr>
      <vt:lpstr>волг</vt:lpstr>
      <vt:lpstr>остр</vt:lpstr>
      <vt:lpstr>галич</vt:lpstr>
      <vt:lpstr>орех</vt:lpstr>
      <vt:lpstr>чухл</vt:lpstr>
      <vt:lpstr>оптима</vt:lpstr>
      <vt:lpstr>кадый</vt:lpstr>
      <vt:lpstr>межа</vt:lpstr>
      <vt:lpstr>вохма</vt:lpstr>
      <vt:lpstr>бог</vt:lpstr>
      <vt:lpstr>роддом</vt:lpstr>
      <vt:lpstr>2МО</vt:lpstr>
      <vt:lpstr>дет</vt:lpstr>
      <vt:lpstr>красное</vt:lpstr>
      <vt:lpstr>увд</vt:lpstr>
      <vt:lpstr>нэс</vt:lpstr>
      <vt:lpstr>ик1</vt:lpstr>
      <vt:lpstr>КРИСТ</vt:lpstr>
      <vt:lpstr>нерехта</vt:lpstr>
      <vt:lpstr>ст.нер</vt:lpstr>
      <vt:lpstr>судисл</vt:lpstr>
      <vt:lpstr>пол4</vt:lpstr>
      <vt:lpstr>стдв</vt:lpstr>
      <vt:lpstr>азимут</vt:lpstr>
      <vt:lpstr>цпс</vt:lpstr>
      <vt:lpstr>ПРОЗР</vt:lpstr>
      <vt:lpstr>зубик</vt:lpstr>
      <vt:lpstr>чародей</vt:lpstr>
      <vt:lpstr>эстетика</vt:lpstr>
      <vt:lpstr>мун.зак.</vt:lpstr>
      <vt:lpstr>иногор</vt:lpstr>
      <vt:lpstr>кмс</vt:lpstr>
      <vt:lpstr>МАКС</vt:lpstr>
      <vt:lpstr>сол</vt:lpstr>
      <vt:lpstr>к году стац</vt:lpstr>
      <vt:lpstr>к году дн.ст.)</vt:lpstr>
      <vt:lpstr>к году пол</vt:lpstr>
      <vt:lpstr>Лист6</vt:lpstr>
      <vt:lpstr>проверка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 Сергей Леонидович</dc:creator>
  <cp:lastModifiedBy>itSokolov</cp:lastModifiedBy>
  <cp:lastPrinted>2014-01-10T09:22:08Z</cp:lastPrinted>
  <dcterms:created xsi:type="dcterms:W3CDTF">2007-04-25T06:36:28Z</dcterms:created>
  <dcterms:modified xsi:type="dcterms:W3CDTF">2014-01-15T05:37:01Z</dcterms:modified>
</cp:coreProperties>
</file>